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30" windowHeight="7590" tabRatio="601" activeTab="0"/>
  </bookViews>
  <sheets>
    <sheet name="2023-2025" sheetId="1" r:id="rId1"/>
  </sheets>
  <definedNames>
    <definedName name="_xlnm._FilterDatabase" localSheetId="0" hidden="1">'2023-2025'!$A$19:$K$151</definedName>
    <definedName name="_xlnm.Print_Titles" localSheetId="0">'2023-2025'!$17:$19</definedName>
    <definedName name="_xlnm.Print_Area" localSheetId="0">'2023-2025'!$A$1:$E$151</definedName>
  </definedNames>
  <calcPr fullCalcOnLoad="1"/>
</workbook>
</file>

<file path=xl/sharedStrings.xml><?xml version="1.0" encoding="utf-8"?>
<sst xmlns="http://schemas.openxmlformats.org/spreadsheetml/2006/main" count="224" uniqueCount="217">
  <si>
    <t>Налог на доходы  физических лиц</t>
  </si>
  <si>
    <t>НАЛОГИ НА СОВОКУПНЫЙ ДОХОД</t>
  </si>
  <si>
    <t>000 1 05 00000 00 0000 000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</si>
  <si>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</si>
  <si>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</si>
  <si>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</si>
  <si>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</si>
  <si>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ГОСУДАРСТВЕННАЯ ПОШЛИНА</t>
  </si>
  <si>
    <t xml:space="preserve">000 1 08 00000 00 0000 000  </t>
  </si>
  <si>
    <t>Плата за негативное воздействие на окружающую среду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</si>
  <si>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</si>
  <si>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</si>
  <si>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</si>
  <si>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</si>
  <si>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</si>
  <si>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НАЛОГОВЫЕ ДОХОДЫ</t>
  </si>
  <si>
    <t>НЕНАЛОГОВЫЕ ДОХОДЫ</t>
  </si>
  <si>
    <t>НАЛОГОВЫЕ  И НЕНАЛОГОВЫЕ ДОХОДЫ</t>
  </si>
  <si>
    <t>ДОХОДЫ ОТ ПРОДАЖИ МАТЕРИАЛЬНЫХ И НЕМАТЕРИАЛЬНЫХ АКТИВОВ</t>
  </si>
  <si>
    <t>Налог, взимаемый в виде стоимости патента в связи с применением упрощенной системы налогообложения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</si>
  <si>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</si>
  <si>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</si>
  <si>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 xml:space="preserve">Всего доходов </t>
  </si>
  <si>
    <t>000 2 00 00000 00 0000 000</t>
  </si>
  <si>
    <t>БЕЗВОЗМЕЗДНЫЕ ПОСТУПЛЕНИЯ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</si>
  <si>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</si>
  <si>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Субвенции  бюджетам субъектов Российской Федерации и муниципальных образований  </t>
  </si>
  <si>
    <t>Приложение №1</t>
  </si>
  <si>
    <t xml:space="preserve">Сергиево-Посадского </t>
  </si>
  <si>
    <t>Московской области</t>
  </si>
  <si>
    <t>к решению Совета депутатов</t>
  </si>
  <si>
    <t>тыс.руб.</t>
  </si>
  <si>
    <t>000 1 01 02000 00 0000 110</t>
  </si>
  <si>
    <t>Налог на доходы физических лиц в виде фиксированных  авансовых платежей с доходов, полученных физическими лицами  являющимися иностранными гражданми , осуществляющими трудовую деятельность по найму  у физических лиц на основании патентов в соответсвиии со статьей 227.1 НК РФ</t>
  </si>
  <si>
    <t>Акцизы по подакцизным товарам (продукции), производимым на территории Российской Федерации</t>
  </si>
  <si>
    <t xml:space="preserve">  000 2 02 30000 00 0000 150</t>
  </si>
  <si>
    <t xml:space="preserve">  000 2 02 20000 00 0000 150</t>
  </si>
  <si>
    <t>Иные межбюджетные трансферты</t>
  </si>
  <si>
    <t>000 2 02 40000 00 0000 150</t>
  </si>
  <si>
    <t>000 1 06 00000 00 0000 000</t>
  </si>
  <si>
    <t>НАЛОГИ НА ИМУЩЕСТВО</t>
  </si>
  <si>
    <t>Налог на имущество физических лиц</t>
  </si>
  <si>
    <t>Земельный налог</t>
  </si>
  <si>
    <t>000 1 17 00000 00 0000 000</t>
  </si>
  <si>
    <t>Прочие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</si>
  <si>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</si>
  <si>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</si>
  <si>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</si>
  <si>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000 1 11 09044 04 0000 120</t>
  </si>
  <si>
    <t>929 202 25466 04 0000 150</t>
  </si>
  <si>
    <t>929 2 02 29999 04 0000 150</t>
  </si>
  <si>
    <t>929 2 02 27112 04 0000 150</t>
  </si>
  <si>
    <t>929 2 02 25497 04 0000 150</t>
  </si>
  <si>
    <t>929 2 02 25555 04 0000 150</t>
  </si>
  <si>
    <t>929 2 02 30024 04 0000 150</t>
  </si>
  <si>
    <t>929 2 02 30029 04 0000 150</t>
  </si>
  <si>
    <t>929 2 02 39999 04 0000 150</t>
  </si>
  <si>
    <t>929 202 35082 04 0000 150</t>
  </si>
  <si>
    <t>929 2 02 35120 04 0000 150</t>
  </si>
  <si>
    <t>929 2 02 20302 04 0000 150</t>
  </si>
  <si>
    <t>929 2 02 49999 04 0000 150</t>
  </si>
  <si>
    <t>Прочие межбюджетные трансферты, передаваемые бюджетам городских округов</t>
  </si>
  <si>
    <t>городского округа</t>
  </si>
  <si>
    <t>ШТРАФЫ, САНКЦИИ, ВОЗМЕЩЕНИЕ УЩЕРБА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</si>
  <si>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</si>
  <si>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</si>
  <si>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</si>
  <si>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182 1 01 02000 01 0000 110</t>
  </si>
  <si>
    <t>182 101 02040 01 0000 110</t>
  </si>
  <si>
    <t>100 1 03 02000 01 0000 110</t>
  </si>
  <si>
    <t>182 1 05 01000 00 0000 110</t>
  </si>
  <si>
    <t>182 105 04020 02 0000 110</t>
  </si>
  <si>
    <t>182 1 06 01000 00 0000 110</t>
  </si>
  <si>
    <t>182 1 06 06000 00 0000 110</t>
  </si>
  <si>
    <t>182  108 03010 01 0000 110</t>
  </si>
  <si>
    <t>929 1 11 05012 04 0000 120</t>
  </si>
  <si>
    <t>929 1 11 05024 04 0000 120</t>
  </si>
  <si>
    <t>929 1 11 05074 04 0000 120</t>
  </si>
  <si>
    <t>048 1 12 01000 01 0000 120</t>
  </si>
  <si>
    <t>929 1 14 02043 04 0000 410</t>
  </si>
  <si>
    <t>929 1 14 06012 04 0000 430</t>
  </si>
  <si>
    <t>929 1 14 06312 04 0000 430</t>
  </si>
  <si>
    <t xml:space="preserve">929 1 16 00000 00 0000 000 </t>
  </si>
  <si>
    <t>Прочие неналоговые доходы бюджетов городских округов</t>
  </si>
  <si>
    <t>929 1 17 05040 04 0000 180</t>
  </si>
  <si>
    <t>Налог, взимаемый в связи с применением упрощенной системы налогообложения</t>
  </si>
  <si>
    <t>Плановый период</t>
  </si>
  <si>
    <t xml:space="preserve"> 929 202 25210 04 0000 150</t>
  </si>
  <si>
    <t>2023 год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</si>
  <si>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</si>
  <si>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929 2 02 25304 04 0000 150</t>
  </si>
  <si>
    <t>929 2 02 25519 04 0000 150</t>
  </si>
  <si>
    <t>Субсидия бюджетам городских округов на поддержку отрасли культуры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</si>
  <si>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</si>
  <si>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929 2 02 25027 04 0000 150</t>
  </si>
  <si>
    <t xml:space="preserve">Субсидии бюджетам муниципальных образований Московской области на мероприятия по организации отдыха детей в каникулярное время </t>
  </si>
  <si>
    <t xml:space="preserve">Субсидии бюджетам муниципальных образований Московской области на реализацию мероприятий по улучшению жилищных условий многодетных семей </t>
  </si>
  <si>
    <t xml:space="preserve">Субсидии бюджетам муниципальных образований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</t>
  </si>
  <si>
    <t>Субсидии бюджетам муниципальных образований Московской области на мероприятия по созданию в муниципальных образовательных организациях: дошкольных, общеобразовательных, 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</si>
  <si>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Субсидии бюджетам муниципальных образований Московской области   на ремонт подъездов в многоквартирных домах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</si>
  <si>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</si>
  <si>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</si>
  <si>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округов, в том числе:</t>
  </si>
  <si>
    <r>
  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бюджетов,</t>
    </r>
    <r>
      <rPr>
        <i/>
        <sz val="12"/>
        <rFont val="Times New Roman"/>
        <family val="1"/>
      </rPr>
      <t xml:space="preserve"> в том числе:</t>
    </r>
  </si>
  <si>
    <t xml:space="preserve">Субсидии бюджетам муниципальных образований Московской области на строительство (реконструкцию) канализационных коллекторов, канализационных насосных станций </t>
  </si>
  <si>
    <t>Субсидии бюджетам муниципальных образований Московской области на проектирование и строительство дошкольных образовательных организаций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</si>
  <si>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</t>
  </si>
  <si>
    <r>
      <t xml:space="preserve">Субсидии бюджетам городских округов на софинансирование капитальных вложений в объекты муниципальной собственности, </t>
    </r>
    <r>
      <rPr>
        <i/>
        <sz val="12"/>
        <rFont val="Times New Roman"/>
        <family val="1"/>
      </rPr>
      <t>в том числе:</t>
    </r>
    <r>
      <rPr>
        <sz val="12"/>
        <rFont val="Times New Roman"/>
        <family val="1"/>
      </rPr>
      <t xml:space="preserve">
</t>
    </r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</si>
  <si>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</si>
  <si>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</si>
  <si>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Субвенции бюджетам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</si>
  <si>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Субвенции из бюджета Московской области бюджетам муниципальных образований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</si>
  <si>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</si>
  <si>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</si>
  <si>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</si>
  <si>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
осуществления государственных полномочий Московской области в области земельных отношений</t>
  </si>
  <si>
    <t>Субсидии бюджетам муниципальных образований Московской области на строительство и реконструкцию объектов очистки сточных вод</t>
  </si>
  <si>
    <t>Субсидии бюджетам муниципальных образований Московской области на ремонт дворовых территорий</t>
  </si>
  <si>
    <t>обустройство и установку детских игровых площадок на территории муниципальных образований Московской области</t>
  </si>
  <si>
    <t>Субсидии бюджетам муниципальных образований Московской области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</si>
  <si>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 xml:space="preserve">Субсидии бюджетам городских округов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</si>
  <si>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r>
  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организациях,</t>
    </r>
    <r>
      <rPr>
        <i/>
        <sz val="12"/>
        <rFont val="Times New Roman"/>
        <family val="1"/>
      </rPr>
      <t xml:space="preserve"> в том числе:</t>
    </r>
  </si>
  <si>
    <t>Дооснащение материально-техническими средствами - приобретение программно-технических комплексов для оформления паспортов гражданина РФ, удостоверяющих личность гражданина РФ за пределами территории РФ в многофункциональных центрах предоставления государственных и муниципальных услуг, а также их техническая поддержка</t>
  </si>
  <si>
    <t>2024 год</t>
  </si>
  <si>
    <t>Субсидия на оснащение отремонтированных зданий общеобразовательных организаций средствами обучения и воспитания</t>
  </si>
  <si>
    <t>Субсидия на проведение работ по капитальному ремонту зданий региональных (муниципальных) общеобразовательных организаций</t>
  </si>
  <si>
    <t>Субсидия на приобретение музыкальных инструментов для муниципальных организаций дополнительного образования в сфере культуры</t>
  </si>
  <si>
    <t xml:space="preserve">Субсидия на капитальный ремонт, приобретение, монтаж и ввод в эксплуатацию объектов водоснабжения </t>
  </si>
  <si>
    <t>Субсидии бюджетам муниципальных образований Московской области на устройство и капитальный ремонт  систем наружного освещения в рамках реализации проекта «Светлый город»</t>
  </si>
  <si>
    <t>Субсидия на благоустройство лесопарковых зон</t>
  </si>
  <si>
    <t>Субвенция на обеспечение переданных государственных полномочий Московской области по организации деятельности по сбору (в том числе раздельный сбор),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</si>
  <si>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</si>
  <si>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</si>
  <si>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 xml:space="preserve">Субсидия  на мероприятия по разработке проектно-сметной документации на проведение капитального ремонта зданий муниципальных общеобразовательных организаций </t>
  </si>
  <si>
    <t xml:space="preserve">Субсидия на подготовку основания, приобретение и установку плоскостных спортивных сооружений </t>
  </si>
  <si>
    <t>Субсидия бюджетам городских округов на государственную поддержку отрасли культуры (модернизация библиотек в части комплектования книжных флндов мунициипальных общедоступных библиотек и государственной общедоступной библиотеки)</t>
  </si>
  <si>
    <t>ямочный ремонт асфальтового покрытия дворовых территорий</t>
  </si>
  <si>
    <t>929 2 02 25750 04 0000 150</t>
  </si>
  <si>
    <t>Субсидии бюджетам городских округов на реализацию мероприятий по модернизации школьных систем образования</t>
  </si>
  <si>
    <t>Обеспечение мероприятий по переселению граждан из аварийного жилищного фонда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</si>
  <si>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</si>
  <si>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</si>
  <si>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r>
      <t xml:space="preserve">Субсидии бюджетам городских округов на реализацию программ формирования современной городской среды, </t>
    </r>
    <r>
      <rPr>
        <i/>
        <sz val="12"/>
        <rFont val="Times New Roman"/>
        <family val="1"/>
      </rPr>
      <t>в том числе:</t>
    </r>
  </si>
  <si>
    <r>
      <t xml:space="preserve">Прочие субсидии бюджетам городских округов, </t>
    </r>
    <r>
      <rPr>
        <sz val="12"/>
        <rFont val="Times New Roman"/>
        <family val="1"/>
      </rPr>
      <t>в том числе</t>
    </r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</si>
  <si>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</si>
  <si>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</si>
  <si>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</si>
  <si>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2025 год</t>
  </si>
  <si>
    <t>Поступление доходов в бюджет Сергиево-Посадского городского округа Московской области 
на 2023 год и на плановый период 2024 и 2025 годов</t>
  </si>
  <si>
    <t>Субсидия на благоустройство территорий муниципальных общеобразовательных организаций, в зданиях которых выполнен капитальный ремонт</t>
  </si>
  <si>
    <t>Субсидия на создание доступной среды в муниципальных учреждениях культуры</t>
  </si>
  <si>
    <t>Субсидия на проведение капитального ремонта муниципальных объектов физической культуры и спорта</t>
  </si>
  <si>
    <t>Субсидия на софинансирование работ по капитальному ремонту и ремонту автомобильных дорог общего пользования местного значения</t>
  </si>
  <si>
    <t xml:space="preserve">Субсидия на софинансирование работ по капитальному ремонту автомобильных дорог к сельским населенным пунктам </t>
  </si>
  <si>
    <t>Субсидия на софинансирование работ в целях проведения капитального ремонта и ремонта автомобильных дорог, примыкающих к территориям садоводческих и огороднических некоммерческих товариществ</t>
  </si>
  <si>
    <t>Субсидия на на благоустройство зон для досуга и отдыха населения в парках культуры и отдыха</t>
  </si>
  <si>
    <t xml:space="preserve"> 929 202 25299 04 0000 150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</si>
  <si>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</si>
  <si>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Субвенции для осуществления отдельных государственных полномочий в части присвоения адресов объектам адресации и согласования перепланировки помещений в многоквартирном доме </t>
  </si>
  <si>
    <t>Субсидии бюджетам муниципальных образований Московской области на реализацию мероприятий по обеспечению устойчивого сокращения непригодного для проживания жилищного фонда</t>
  </si>
  <si>
    <t xml:space="preserve">Субвенции бюджетам городских округов Московской области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 </t>
  </si>
  <si>
    <t>182 105 07000 01 0000 110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</si>
  <si>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</si>
  <si>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Субсидия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</si>
  <si>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>Субсидия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</si>
  <si>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Субсидия на софинансирование работ по строительству (реконструкции) объектов дорожного хозяйства местного значения</t>
  </si>
  <si>
    <t>929 2 02 45424 04 0000 150</t>
  </si>
  <si>
    <t>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</si>
  <si>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929 1 11 09080 04 0000 120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</si>
  <si>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</si>
  <si>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929 1 11 09080 04 0001 120</t>
  </si>
  <si>
    <r>
  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</t>
    </r>
    <r>
      <rPr>
        <b/>
        <i/>
        <sz val="12"/>
        <rFont val="Times New Roman"/>
        <family val="1"/>
      </rPr>
      <t>Плата, поступившая в рамках договора за предоставление права на размещение и эксплуатацию нестационарного торгового объекта</t>
    </r>
    <r>
      <rPr>
        <i/>
        <sz val="12"/>
        <rFont val="Times New Roman"/>
        <family val="1"/>
      </rPr>
      <t>)</t>
    </r>
  </si>
  <si>
    <t>9291 11 09080 04 0002 120</t>
  </si>
  <si>
    <r>
  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</t>
    </r>
    <r>
      <rPr>
        <b/>
        <i/>
        <sz val="12"/>
        <rFont val="Times New Roman"/>
        <family val="1"/>
      </rPr>
      <t>установка и эксплуатацию рекламных конструкций</t>
    </r>
    <r>
      <rPr>
        <i/>
        <sz val="12"/>
        <rFont val="Times New Roman"/>
        <family val="1"/>
      </rPr>
      <t>)</t>
    </r>
  </si>
  <si>
    <t>000 1 13 00000 00 0000 000</t>
  </si>
  <si>
    <t>ДОХОДЫ ОТ ОКАЗАНИЯ ПЛАТНЫХ  УСЛУГ И КОМПЕНСАЦИИ ЗАТРАТ ГОСУДАРСТВА</t>
  </si>
  <si>
    <t>929 1 13 01994 04 0000 130</t>
  </si>
  <si>
    <t>Прочие доходы от оказания платных услуг (работ) получателями средств бюджетов городских округов</t>
  </si>
  <si>
    <t>929 2 02 35303 04 0000 150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</si>
  <si>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</si>
  <si>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Автоматизированная упрощенная система налогообложения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</si>
  <si>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</si>
  <si>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от 23.12.2022 № 60/01-МЗ</t>
  </si>
  <si>
    <t>929 2 02 35179 04 0000 150</t>
  </si>
  <si>
    <t xml:space="preserve"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</si>
  <si>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</si>
  <si>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Субсидии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</si>
  <si>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929 2 02 25424 04 0000 150</t>
  </si>
  <si>
    <t>929 202 25172 04 0000 150</t>
  </si>
  <si>
    <t xml:space="preserve"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
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
</t>
  </si>
  <si>
    <t>929 2 19 60010 04 0000 150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</si>
  <si>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</si>
  <si>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929 218 04010 04 0000 150</t>
  </si>
  <si>
    <t>Доходы бюджетов городских округов от возврата бюджетными учреждениями остатков субсидий прошлых лет</t>
  </si>
  <si>
    <t>929 2 02 45519 04 0000 150</t>
  </si>
  <si>
    <t>Межбюджетные трансферты, передаваемые бюджетам городских округов на поддержку отрасли культуры</t>
  </si>
  <si>
    <t>929 1 13 02994 04 0000 130</t>
  </si>
  <si>
    <t>Прочие доходы от компенсации затрат бюджетов городских округов</t>
  </si>
  <si>
    <t>Устройство спортивных и детских площадок на территории муниципальных общеобразовательных организаций</t>
  </si>
  <si>
    <t>Реализация на территориях муниципальных образований проектов граждан, сформированных в рамках практик инициативного бюджетирования</t>
  </si>
  <si>
    <t>929 2 02 35135 04 0000 150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</si>
  <si>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</si>
  <si>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Оснащение отремонтированных зданий муниципальных дошкольных образовательных организаций и дошкольных отделений муниципальных общеобразовательных организаций</t>
  </si>
  <si>
    <t>Субсидии бюджетам городских округов на реализацию мероприятий по обеспечению жильем молодых семей</t>
  </si>
  <si>
    <t>от ____________№_______</t>
  </si>
  <si>
    <t>Устройство сезонных ледяных катков</t>
  </si>
  <si>
    <t>Единый сельскохозяйственный  налог</t>
  </si>
  <si>
    <t xml:space="preserve">000 1 05 03000 01 0000 110 </t>
  </si>
  <si>
    <t>929 1 11 05 324 04 0000 120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</si>
  <si>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 учреждениями в отношении земельных участков, находящихся в собственности городских округов</t>
  </si>
  <si>
    <t>Доходы от продажи квартир, находящихся в собственности городских округов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</si>
  <si>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</si>
  <si>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000 2 02 10000 00 0000 150</t>
  </si>
  <si>
    <t xml:space="preserve">Дотации  бюджетам субъектов Российской Федерации и муниципальных образований  </t>
  </si>
  <si>
    <t>932 2 02 19999 04 0009 150</t>
  </si>
  <si>
    <t>Прочие дотации бюджетам городских округов – иные дотации бюджетам городских округов</t>
  </si>
  <si>
    <t>929 114 01004 0000 410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</si>
</sst>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_)"/>
    <numFmt numFmtId="179" formatCode="#,##0.000"/>
    <numFmt numFmtId="180" formatCode="#,##0_р_."/>
    <numFmt numFmtId="181" formatCode="#,##0.00\ &quot;₽&quot;"/>
    <numFmt numFmtId="182" formatCode="0.000"/>
    <numFmt numFmtId="183" formatCode="#,##0.00000"/>
    <numFmt numFmtId="184" formatCode="#,##0.0000"/>
    <numFmt numFmtId="185" formatCode="_-* #,##0.00000\ &quot;₽&quot;_-;\-* #,##0.00000\ &quot;₽&quot;_-;_-* &quot;-&quot;?????\ &quot;₽&quot;_-;_-@_-"/>
    <numFmt numFmtId="186" formatCode="0.00000"/>
    <numFmt numFmtId="187" formatCode="0.000000"/>
    <numFmt numFmtId="188" formatCode="#,##0.000000"/>
    <numFmt numFmtId="189" formatCode="#,##0.000000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ourier"/>
      <family val="3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78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Fill="1" applyAlignment="1">
      <alignment horizontal="left"/>
    </xf>
    <xf numFmtId="4" fontId="7" fillId="0" borderId="10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83" fontId="5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183" fontId="5" fillId="0" borderId="0" xfId="0" applyNumberFormat="1" applyFont="1" applyFill="1" applyAlignment="1">
      <alignment horizontal="left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179" fontId="5" fillId="0" borderId="0" xfId="0" applyNumberFormat="1" applyFont="1" applyAlignment="1">
      <alignment horizontal="left"/>
    </xf>
    <xf numFmtId="0" fontId="5" fillId="35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183" fontId="5" fillId="35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indent="15"/>
    </xf>
    <xf numFmtId="2" fontId="5" fillId="0" borderId="0" xfId="0" applyNumberFormat="1" applyFont="1" applyFill="1" applyAlignment="1">
      <alignment horizontal="left" indent="15"/>
    </xf>
    <xf numFmtId="0" fontId="5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183" fontId="5" fillId="0" borderId="0" xfId="0" applyNumberFormat="1" applyFont="1" applyFill="1" applyAlignment="1">
      <alignment/>
    </xf>
    <xf numFmtId="186" fontId="5" fillId="0" borderId="0" xfId="0" applyNumberFormat="1" applyFont="1" applyFill="1" applyAlignment="1">
      <alignment/>
    </xf>
    <xf numFmtId="184" fontId="5" fillId="0" borderId="0" xfId="0" applyNumberFormat="1" applyFont="1" applyAlignment="1">
      <alignment horizontal="left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center" vertical="center"/>
    </xf>
    <xf numFmtId="185" fontId="5" fillId="35" borderId="11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center" wrapText="1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view="pageLayout" zoomScale="20" zoomScaleNormal="75" zoomScaleSheetLayoutView="73" zoomScalePageLayoutView="20" workbookViewId="0" topLeftCell="A1">
      <selection activeCell="F25" sqref="F25"/>
    </sheetView>
  </sheetViews>
  <sheetFormatPr defaultColWidth="9.00390625" defaultRowHeight="12.75"/>
  <cols>
    <col min="1" max="1" width="36.625" style="44" customWidth="1"/>
    <col min="2" max="2" width="65.00390625" style="12" customWidth="1"/>
    <col min="3" max="3" width="21.375" style="45" customWidth="1"/>
    <col min="4" max="4" width="21.625" style="45" customWidth="1"/>
    <col min="5" max="5" width="21.375" style="45" customWidth="1"/>
    <col min="6" max="6" width="41.00390625" style="1" customWidth="1"/>
    <col min="7" max="7" width="30.375" style="1" customWidth="1"/>
    <col min="8" max="8" width="35.00390625" style="1" customWidth="1"/>
    <col min="9" max="9" width="24.75390625" style="1" customWidth="1"/>
    <col min="10" max="16384" width="9.125" style="1" customWidth="1"/>
  </cols>
  <sheetData>
    <row r="1" ht="15.75">
      <c r="D1" s="46" t="s">
        <v>27</v>
      </c>
    </row>
    <row r="2" ht="15.75">
      <c r="D2" s="46" t="s">
        <v>30</v>
      </c>
    </row>
    <row r="3" ht="15.75">
      <c r="D3" s="46" t="s">
        <v>28</v>
      </c>
    </row>
    <row r="4" ht="15.75">
      <c r="D4" s="46" t="s">
        <v>62</v>
      </c>
    </row>
    <row r="5" ht="15.75">
      <c r="D5" s="46" t="s">
        <v>29</v>
      </c>
    </row>
    <row r="6" ht="15.75">
      <c r="D6" s="45" t="s">
        <v>204</v>
      </c>
    </row>
    <row r="8" ht="15.75">
      <c r="D8" s="46" t="s">
        <v>27</v>
      </c>
    </row>
    <row r="9" ht="15.75">
      <c r="D9" s="46" t="s">
        <v>30</v>
      </c>
    </row>
    <row r="10" ht="15.75">
      <c r="D10" s="46" t="s">
        <v>28</v>
      </c>
    </row>
    <row r="11" ht="15.75">
      <c r="D11" s="46" t="s">
        <v>62</v>
      </c>
    </row>
    <row r="12" ht="15.75">
      <c r="D12" s="46" t="s">
        <v>29</v>
      </c>
    </row>
    <row r="13" spans="1:4" ht="15" customHeight="1">
      <c r="A13" s="47"/>
      <c r="B13" s="48"/>
      <c r="C13" s="49"/>
      <c r="D13" s="45" t="s">
        <v>182</v>
      </c>
    </row>
    <row r="14" spans="1:5" ht="37.5" customHeight="1">
      <c r="A14" s="96" t="s">
        <v>148</v>
      </c>
      <c r="B14" s="96"/>
      <c r="C14" s="96"/>
      <c r="D14" s="96"/>
      <c r="E14" s="96"/>
    </row>
    <row r="15" spans="1:5" s="12" customFormat="1" ht="10.5" customHeight="1">
      <c r="A15" s="26"/>
      <c r="B15" s="26"/>
      <c r="C15" s="27"/>
      <c r="D15" s="27"/>
      <c r="E15" s="27"/>
    </row>
    <row r="16" spans="2:5" ht="17.25" customHeight="1">
      <c r="B16" s="50"/>
      <c r="C16" s="51"/>
      <c r="E16" s="51" t="s">
        <v>31</v>
      </c>
    </row>
    <row r="17" spans="1:5" ht="28.5" customHeight="1">
      <c r="A17" s="100" t="s">
        <v>13</v>
      </c>
      <c r="B17" s="100" t="s">
        <v>12</v>
      </c>
      <c r="C17" s="101" t="s">
        <v>88</v>
      </c>
      <c r="D17" s="97" t="s">
        <v>86</v>
      </c>
      <c r="E17" s="98"/>
    </row>
    <row r="18" spans="1:5" s="2" customFormat="1" ht="22.5" customHeight="1">
      <c r="A18" s="100"/>
      <c r="B18" s="100"/>
      <c r="C18" s="101"/>
      <c r="D18" s="53" t="s">
        <v>123</v>
      </c>
      <c r="E18" s="53" t="s">
        <v>147</v>
      </c>
    </row>
    <row r="19" spans="1:5" s="2" customFormat="1" ht="18" customHeight="1">
      <c r="A19" s="8">
        <v>1</v>
      </c>
      <c r="B19" s="8">
        <v>2</v>
      </c>
      <c r="C19" s="54">
        <v>3</v>
      </c>
      <c r="D19" s="55">
        <v>4</v>
      </c>
      <c r="E19" s="55">
        <v>5</v>
      </c>
    </row>
    <row r="20" spans="1:5" s="2" customFormat="1" ht="42" customHeight="1">
      <c r="A20" s="8"/>
      <c r="B20" s="56" t="s">
        <v>17</v>
      </c>
      <c r="C20" s="32">
        <f>C21+C37</f>
        <v>7685905.499449923</v>
      </c>
      <c r="D20" s="32">
        <f>D21+D37</f>
        <v>6633499.682159892</v>
      </c>
      <c r="E20" s="32">
        <f>E21+E37</f>
        <v>6027418.2</v>
      </c>
    </row>
    <row r="21" spans="1:5" s="2" customFormat="1" ht="33" customHeight="1">
      <c r="A21" s="8" t="s">
        <v>5</v>
      </c>
      <c r="B21" s="56" t="s">
        <v>15</v>
      </c>
      <c r="C21" s="32">
        <f>C22+C26+C27+C35+C32</f>
        <v>6991436.136519923</v>
      </c>
      <c r="D21" s="32">
        <f>D22+D26+D27+D35+D32</f>
        <v>6143075.482159892</v>
      </c>
      <c r="E21" s="32">
        <f>E22+E26+E27+E35+E32</f>
        <v>5544837</v>
      </c>
    </row>
    <row r="22" spans="1:5" ht="33" customHeight="1">
      <c r="A22" s="57" t="s">
        <v>32</v>
      </c>
      <c r="B22" s="56" t="s">
        <v>0</v>
      </c>
      <c r="C22" s="32">
        <f>C23+C24+C25</f>
        <v>5170346.936519923</v>
      </c>
      <c r="D22" s="32">
        <f>D23+D24+D25</f>
        <v>4105901.482159892</v>
      </c>
      <c r="E22" s="32">
        <f>E23+E24+E25</f>
        <v>3231282.9999999995</v>
      </c>
    </row>
    <row r="23" spans="1:7" ht="33" customHeight="1">
      <c r="A23" s="58" t="s">
        <v>67</v>
      </c>
      <c r="B23" s="59" t="s">
        <v>0</v>
      </c>
      <c r="C23" s="30">
        <f>984345/15*(15+53.388156)+43301.79252+95067.3+59691.844</f>
        <v>4685896.897708</v>
      </c>
      <c r="D23" s="30">
        <f>1057176/15*(15+31.758523)+463028.48216+11850</f>
        <v>3770344.3695631996</v>
      </c>
      <c r="E23" s="30">
        <v>2941499.3</v>
      </c>
      <c r="F23" s="25"/>
      <c r="G23" s="19"/>
    </row>
    <row r="24" spans="1:7" ht="96" customHeight="1">
      <c r="A24" s="58" t="s">
        <v>68</v>
      </c>
      <c r="B24" s="59" t="s">
        <v>33</v>
      </c>
      <c r="C24" s="30">
        <f>209231.09-0.002146</f>
        <v>209231.08785399998</v>
      </c>
      <c r="D24" s="31">
        <f>133627.39+0.004929</f>
        <v>133627.394929</v>
      </c>
      <c r="E24" s="31">
        <f>109629.68+0.00117</f>
        <v>109629.68117</v>
      </c>
      <c r="G24" s="5"/>
    </row>
    <row r="25" spans="1:8" ht="120" customHeight="1">
      <c r="A25" s="58" t="s">
        <v>132</v>
      </c>
      <c r="B25" s="60" t="s">
        <v>131</v>
      </c>
      <c r="C25" s="30">
        <f>60153/13*(13+46.479101)</f>
        <v>275218.9509579231</v>
      </c>
      <c r="D25" s="30">
        <f>64580/13*(13+27.648596)</f>
        <v>201929.71766769228</v>
      </c>
      <c r="E25" s="30">
        <f>67470/13*(13+21.711757)</f>
        <v>180154.01883</v>
      </c>
      <c r="F25" s="22"/>
      <c r="G25" s="23"/>
      <c r="H25" s="3"/>
    </row>
    <row r="26" spans="1:5" ht="53.25" customHeight="1">
      <c r="A26" s="57" t="s">
        <v>69</v>
      </c>
      <c r="B26" s="56" t="s">
        <v>34</v>
      </c>
      <c r="C26" s="32">
        <v>93218</v>
      </c>
      <c r="D26" s="32">
        <v>101620</v>
      </c>
      <c r="E26" s="32">
        <v>107542</v>
      </c>
    </row>
    <row r="27" spans="1:5" ht="28.5" customHeight="1">
      <c r="A27" s="57" t="s">
        <v>2</v>
      </c>
      <c r="B27" s="56" t="s">
        <v>1</v>
      </c>
      <c r="C27" s="33">
        <f>C28+C30+C31+C29</f>
        <v>1054671.2</v>
      </c>
      <c r="D27" s="33">
        <f>D28+D30+D31</f>
        <v>1248115</v>
      </c>
      <c r="E27" s="33">
        <f>E28+E30+E31</f>
        <v>1504810</v>
      </c>
    </row>
    <row r="28" spans="1:6" ht="42" customHeight="1">
      <c r="A28" s="7" t="s">
        <v>70</v>
      </c>
      <c r="B28" s="59" t="s">
        <v>85</v>
      </c>
      <c r="C28" s="34">
        <v>946693</v>
      </c>
      <c r="D28" s="61">
        <v>1134037</v>
      </c>
      <c r="E28" s="61">
        <v>1382970</v>
      </c>
      <c r="F28" s="19"/>
    </row>
    <row r="29" spans="1:6" ht="42" customHeight="1">
      <c r="A29" s="7" t="s">
        <v>207</v>
      </c>
      <c r="B29" s="88" t="s">
        <v>206</v>
      </c>
      <c r="C29" s="34">
        <v>392.9</v>
      </c>
      <c r="D29" s="61">
        <v>0</v>
      </c>
      <c r="E29" s="61">
        <v>0</v>
      </c>
      <c r="F29" s="19"/>
    </row>
    <row r="30" spans="1:6" ht="60" customHeight="1">
      <c r="A30" s="7" t="s">
        <v>71</v>
      </c>
      <c r="B30" s="59" t="s">
        <v>19</v>
      </c>
      <c r="C30" s="34">
        <v>105754</v>
      </c>
      <c r="D30" s="34">
        <v>113812</v>
      </c>
      <c r="E30" s="34">
        <v>121556</v>
      </c>
      <c r="F30" s="19"/>
    </row>
    <row r="31" spans="1:6" ht="39.75" customHeight="1">
      <c r="A31" s="7" t="s">
        <v>161</v>
      </c>
      <c r="B31" s="59" t="s">
        <v>180</v>
      </c>
      <c r="C31" s="34">
        <f>246+1300+285.3</f>
        <v>1831.3</v>
      </c>
      <c r="D31" s="34">
        <v>266</v>
      </c>
      <c r="E31" s="34">
        <v>284</v>
      </c>
      <c r="F31" s="19"/>
    </row>
    <row r="32" spans="1:5" ht="32.25" customHeight="1">
      <c r="A32" s="8" t="s">
        <v>39</v>
      </c>
      <c r="B32" s="56" t="s">
        <v>40</v>
      </c>
      <c r="C32" s="33">
        <f>C33+C34</f>
        <v>625701</v>
      </c>
      <c r="D32" s="33">
        <f>D33+D34</f>
        <v>635808</v>
      </c>
      <c r="E32" s="33">
        <f>E33+E34</f>
        <v>646422</v>
      </c>
    </row>
    <row r="33" spans="1:5" ht="31.5" customHeight="1">
      <c r="A33" s="7" t="s">
        <v>72</v>
      </c>
      <c r="B33" s="59" t="s">
        <v>41</v>
      </c>
      <c r="C33" s="34">
        <v>201258</v>
      </c>
      <c r="D33" s="34">
        <v>211365</v>
      </c>
      <c r="E33" s="34">
        <v>221979</v>
      </c>
    </row>
    <row r="34" spans="1:6" ht="38.25" customHeight="1">
      <c r="A34" s="7" t="s">
        <v>73</v>
      </c>
      <c r="B34" s="59" t="s">
        <v>42</v>
      </c>
      <c r="C34" s="34">
        <v>424443</v>
      </c>
      <c r="D34" s="34">
        <v>424443</v>
      </c>
      <c r="E34" s="34">
        <v>424443</v>
      </c>
      <c r="F34" s="19"/>
    </row>
    <row r="35" spans="1:5" ht="33" customHeight="1">
      <c r="A35" s="57" t="s">
        <v>8</v>
      </c>
      <c r="B35" s="56" t="s">
        <v>7</v>
      </c>
      <c r="C35" s="33">
        <f>C36</f>
        <v>47499</v>
      </c>
      <c r="D35" s="33">
        <f>D36</f>
        <v>51631</v>
      </c>
      <c r="E35" s="33">
        <f>E36</f>
        <v>54780</v>
      </c>
    </row>
    <row r="36" spans="1:5" ht="79.5" customHeight="1">
      <c r="A36" s="58" t="s">
        <v>74</v>
      </c>
      <c r="B36" s="59" t="s">
        <v>14</v>
      </c>
      <c r="C36" s="34">
        <v>47499</v>
      </c>
      <c r="D36" s="34">
        <v>51631</v>
      </c>
      <c r="E36" s="34">
        <v>54780</v>
      </c>
    </row>
    <row r="37" spans="1:5" ht="32.25" customHeight="1">
      <c r="A37" s="58"/>
      <c r="B37" s="56" t="s">
        <v>16</v>
      </c>
      <c r="C37" s="33">
        <f>C38+C47+C52+C57+C58+C49</f>
        <v>694469.3629300001</v>
      </c>
      <c r="D37" s="33">
        <f>D38+D47+D52+D57+D58+D49</f>
        <v>490424.2</v>
      </c>
      <c r="E37" s="33">
        <f>E38+E47+E52+E57+E58+E49</f>
        <v>482581.2</v>
      </c>
    </row>
    <row r="38" spans="1:5" ht="81" customHeight="1">
      <c r="A38" s="57" t="s">
        <v>3</v>
      </c>
      <c r="B38" s="56" t="s">
        <v>4</v>
      </c>
      <c r="C38" s="32">
        <f>C39+C41+C43+C40+C44+C42</f>
        <v>462720.55100000004</v>
      </c>
      <c r="D38" s="32">
        <f>D39+D41+D43+D40+D44</f>
        <v>425773</v>
      </c>
      <c r="E38" s="32">
        <f>E39+E41+E43+E40+E44</f>
        <v>417930</v>
      </c>
    </row>
    <row r="39" spans="1:6" ht="93.75" customHeight="1">
      <c r="A39" s="62" t="s">
        <v>75</v>
      </c>
      <c r="B39" s="63" t="s">
        <v>45</v>
      </c>
      <c r="C39" s="34">
        <v>341896</v>
      </c>
      <c r="D39" s="34">
        <v>341896</v>
      </c>
      <c r="E39" s="34">
        <v>341896</v>
      </c>
      <c r="F39" s="24"/>
    </row>
    <row r="40" spans="1:6" ht="78" customHeight="1">
      <c r="A40" s="7" t="s">
        <v>76</v>
      </c>
      <c r="B40" s="64" t="s">
        <v>46</v>
      </c>
      <c r="C40" s="34">
        <v>6500</v>
      </c>
      <c r="D40" s="34">
        <v>2674</v>
      </c>
      <c r="E40" s="34">
        <v>2674</v>
      </c>
      <c r="F40" s="5"/>
    </row>
    <row r="41" spans="1:8" s="6" customFormat="1" ht="59.25" customHeight="1">
      <c r="A41" s="65" t="s">
        <v>77</v>
      </c>
      <c r="B41" s="66" t="s">
        <v>47</v>
      </c>
      <c r="C41" s="34">
        <v>25242</v>
      </c>
      <c r="D41" s="34">
        <v>26403</v>
      </c>
      <c r="E41" s="34">
        <v>27460</v>
      </c>
      <c r="F41" s="12"/>
      <c r="G41" s="12"/>
      <c r="H41" s="12"/>
    </row>
    <row r="42" spans="1:8" s="6" customFormat="1" ht="110.25" customHeight="1">
      <c r="A42" s="65" t="s">
        <v>208</v>
      </c>
      <c r="B42" s="66" t="s">
        <v>209</v>
      </c>
      <c r="C42" s="34">
        <v>6.9</v>
      </c>
      <c r="D42" s="34"/>
      <c r="E42" s="34"/>
      <c r="F42" s="17"/>
      <c r="G42" s="12"/>
      <c r="H42" s="12"/>
    </row>
    <row r="43" spans="1:8" s="6" customFormat="1" ht="99.75" customHeight="1">
      <c r="A43" s="52" t="s">
        <v>48</v>
      </c>
      <c r="B43" s="67" t="s">
        <v>181</v>
      </c>
      <c r="C43" s="34">
        <f>51779.5+12617.251</f>
        <v>64396.751000000004</v>
      </c>
      <c r="D43" s="34">
        <f>36500+3800</f>
        <v>40300</v>
      </c>
      <c r="E43" s="34">
        <f>29400+2000</f>
        <v>31400</v>
      </c>
      <c r="F43" s="12"/>
      <c r="G43" s="12"/>
      <c r="H43" s="12"/>
    </row>
    <row r="44" spans="1:8" s="6" customFormat="1" ht="116.25" customHeight="1">
      <c r="A44" s="52" t="s">
        <v>168</v>
      </c>
      <c r="B44" s="68" t="s">
        <v>169</v>
      </c>
      <c r="C44" s="33">
        <f>C45+C46</f>
        <v>24678.9</v>
      </c>
      <c r="D44" s="33">
        <f>D45+D46</f>
        <v>14500</v>
      </c>
      <c r="E44" s="33">
        <f>E45+E46</f>
        <v>14500</v>
      </c>
      <c r="F44" s="12"/>
      <c r="G44" s="12"/>
      <c r="H44" s="12"/>
    </row>
    <row r="45" spans="1:8" s="6" customFormat="1" ht="144.75" customHeight="1">
      <c r="A45" s="69" t="s">
        <v>170</v>
      </c>
      <c r="B45" s="70" t="s">
        <v>171</v>
      </c>
      <c r="C45" s="35">
        <f>4500+2200+1097.6</f>
        <v>7797.6</v>
      </c>
      <c r="D45" s="35">
        <v>4500</v>
      </c>
      <c r="E45" s="35">
        <v>4500</v>
      </c>
      <c r="F45" s="17"/>
      <c r="G45" s="12"/>
      <c r="H45" s="12"/>
    </row>
    <row r="46" spans="1:8" s="6" customFormat="1" ht="147.75" customHeight="1">
      <c r="A46" s="69" t="s">
        <v>172</v>
      </c>
      <c r="B46" s="71" t="s">
        <v>173</v>
      </c>
      <c r="C46" s="35">
        <f>10000+3000+3881.3</f>
        <v>16881.3</v>
      </c>
      <c r="D46" s="35">
        <v>10000</v>
      </c>
      <c r="E46" s="35">
        <v>10000</v>
      </c>
      <c r="F46" s="17"/>
      <c r="G46" s="12"/>
      <c r="H46" s="12"/>
    </row>
    <row r="47" spans="1:5" ht="49.5" customHeight="1">
      <c r="A47" s="57" t="s">
        <v>10</v>
      </c>
      <c r="B47" s="56" t="s">
        <v>11</v>
      </c>
      <c r="C47" s="33">
        <f>C48</f>
        <v>19500</v>
      </c>
      <c r="D47" s="33">
        <v>3186</v>
      </c>
      <c r="E47" s="33">
        <v>3186</v>
      </c>
    </row>
    <row r="48" spans="1:6" ht="40.5" customHeight="1">
      <c r="A48" s="58" t="s">
        <v>78</v>
      </c>
      <c r="B48" s="59" t="s">
        <v>9</v>
      </c>
      <c r="C48" s="34">
        <f>3186+16314</f>
        <v>19500</v>
      </c>
      <c r="D48" s="34">
        <v>3186</v>
      </c>
      <c r="E48" s="34">
        <v>3186</v>
      </c>
      <c r="F48" s="5"/>
    </row>
    <row r="49" spans="1:6" ht="55.5" customHeight="1">
      <c r="A49" s="8" t="s">
        <v>174</v>
      </c>
      <c r="B49" s="56" t="s">
        <v>175</v>
      </c>
      <c r="C49" s="33">
        <f>C50+C51</f>
        <v>8637.861930000001</v>
      </c>
      <c r="D49" s="33">
        <f>D50</f>
        <v>1005.2</v>
      </c>
      <c r="E49" s="33">
        <f>E50</f>
        <v>1005.2</v>
      </c>
      <c r="F49" s="5"/>
    </row>
    <row r="50" spans="1:6" ht="55.5" customHeight="1">
      <c r="A50" s="62" t="s">
        <v>176</v>
      </c>
      <c r="B50" s="63" t="s">
        <v>177</v>
      </c>
      <c r="C50" s="34">
        <v>1005.2</v>
      </c>
      <c r="D50" s="34">
        <v>1005.2</v>
      </c>
      <c r="E50" s="34">
        <v>1005.2</v>
      </c>
      <c r="F50" s="5"/>
    </row>
    <row r="51" spans="1:6" ht="55.5" customHeight="1">
      <c r="A51" s="62" t="s">
        <v>196</v>
      </c>
      <c r="B51" s="63" t="s">
        <v>197</v>
      </c>
      <c r="C51" s="34">
        <f>2228.14943-323.6875+5728.2</f>
        <v>7632.66193</v>
      </c>
      <c r="D51" s="34"/>
      <c r="E51" s="34"/>
      <c r="F51" s="5"/>
    </row>
    <row r="52" spans="1:5" ht="43.5" customHeight="1">
      <c r="A52" s="57" t="s">
        <v>6</v>
      </c>
      <c r="B52" s="56" t="s">
        <v>18</v>
      </c>
      <c r="C52" s="33">
        <f>C54+C55+C56+C53</f>
        <v>170461.3</v>
      </c>
      <c r="D52" s="33">
        <f>D54+D55+D56</f>
        <v>31100</v>
      </c>
      <c r="E52" s="33">
        <f>E54+E55+E56</f>
        <v>31100</v>
      </c>
    </row>
    <row r="53" spans="1:6" ht="43.5" customHeight="1">
      <c r="A53" s="58" t="s">
        <v>216</v>
      </c>
      <c r="B53" s="59" t="s">
        <v>210</v>
      </c>
      <c r="C53" s="34">
        <v>45</v>
      </c>
      <c r="D53" s="34">
        <v>0</v>
      </c>
      <c r="E53" s="34">
        <v>0</v>
      </c>
      <c r="F53" s="5"/>
    </row>
    <row r="54" spans="1:6" ht="111" customHeight="1">
      <c r="A54" s="30" t="s">
        <v>79</v>
      </c>
      <c r="B54" s="59" t="s">
        <v>66</v>
      </c>
      <c r="C54" s="34">
        <f>12000+78081+6300+1140.9</f>
        <v>97521.9</v>
      </c>
      <c r="D54" s="34">
        <v>10000</v>
      </c>
      <c r="E54" s="34">
        <v>10000</v>
      </c>
      <c r="F54" s="5"/>
    </row>
    <row r="55" spans="1:6" ht="68.25" customHeight="1">
      <c r="A55" s="30" t="s">
        <v>80</v>
      </c>
      <c r="B55" s="59" t="s">
        <v>65</v>
      </c>
      <c r="C55" s="34">
        <f>17000+4040+10649.7</f>
        <v>31689.7</v>
      </c>
      <c r="D55" s="34">
        <v>18000</v>
      </c>
      <c r="E55" s="34">
        <v>18000</v>
      </c>
      <c r="F55" s="5"/>
    </row>
    <row r="56" spans="1:6" ht="93.75" customHeight="1">
      <c r="A56" s="30" t="s">
        <v>81</v>
      </c>
      <c r="B56" s="59" t="s">
        <v>64</v>
      </c>
      <c r="C56" s="34">
        <f>3100+20000+18104.7</f>
        <v>41204.7</v>
      </c>
      <c r="D56" s="34">
        <v>3100</v>
      </c>
      <c r="E56" s="34">
        <v>3100</v>
      </c>
      <c r="F56" s="5"/>
    </row>
    <row r="57" spans="1:6" ht="52.5" customHeight="1">
      <c r="A57" s="8" t="s">
        <v>82</v>
      </c>
      <c r="B57" s="56" t="s">
        <v>63</v>
      </c>
      <c r="C57" s="33">
        <f>21360</f>
        <v>21360</v>
      </c>
      <c r="D57" s="33">
        <f>21360</f>
        <v>21360</v>
      </c>
      <c r="E57" s="33">
        <f>21360</f>
        <v>21360</v>
      </c>
      <c r="F57" s="5"/>
    </row>
    <row r="58" spans="1:6" ht="39" customHeight="1">
      <c r="A58" s="72" t="s">
        <v>43</v>
      </c>
      <c r="B58" s="73" t="s">
        <v>44</v>
      </c>
      <c r="C58" s="33">
        <f>C59</f>
        <v>11789.65</v>
      </c>
      <c r="D58" s="33">
        <f>D59</f>
        <v>8000</v>
      </c>
      <c r="E58" s="33">
        <f>E59</f>
        <v>8000</v>
      </c>
      <c r="F58" s="5"/>
    </row>
    <row r="59" spans="1:6" ht="33.75" customHeight="1">
      <c r="A59" s="74" t="s">
        <v>84</v>
      </c>
      <c r="B59" s="75" t="s">
        <v>83</v>
      </c>
      <c r="C59" s="34">
        <f>350+13039.65-1600</f>
        <v>11789.65</v>
      </c>
      <c r="D59" s="34">
        <f>400+7600</f>
        <v>8000</v>
      </c>
      <c r="E59" s="34">
        <f>600+7400</f>
        <v>8000</v>
      </c>
      <c r="F59" s="5"/>
    </row>
    <row r="60" spans="1:6" ht="45.75" customHeight="1">
      <c r="A60" s="57" t="s">
        <v>23</v>
      </c>
      <c r="B60" s="56" t="s">
        <v>24</v>
      </c>
      <c r="C60" s="33">
        <f>C61+C150+C149</f>
        <v>8820086.42755</v>
      </c>
      <c r="D60" s="33">
        <f>D61</f>
        <v>8111324.130369999</v>
      </c>
      <c r="E60" s="33">
        <f>E61</f>
        <v>4303375.48391</v>
      </c>
      <c r="F60" s="5"/>
    </row>
    <row r="61" spans="1:6" s="4" customFormat="1" ht="60" customHeight="1">
      <c r="A61" s="57" t="s">
        <v>20</v>
      </c>
      <c r="B61" s="76" t="s">
        <v>21</v>
      </c>
      <c r="C61" s="33">
        <f>C64+C122+C145+C62</f>
        <v>8968727.90149</v>
      </c>
      <c r="D61" s="33">
        <f>D64+D122+D145</f>
        <v>8111324.130369999</v>
      </c>
      <c r="E61" s="33">
        <f>E64+E122+E145</f>
        <v>4303375.48391</v>
      </c>
      <c r="F61" s="24"/>
    </row>
    <row r="62" spans="1:6" s="4" customFormat="1" ht="60" customHeight="1">
      <c r="A62" s="57" t="s">
        <v>212</v>
      </c>
      <c r="B62" s="56" t="s">
        <v>213</v>
      </c>
      <c r="C62" s="33">
        <f>C63</f>
        <v>64569</v>
      </c>
      <c r="D62" s="33">
        <v>0</v>
      </c>
      <c r="E62" s="33">
        <v>0</v>
      </c>
      <c r="F62" s="24"/>
    </row>
    <row r="63" spans="1:6" s="4" customFormat="1" ht="60" customHeight="1">
      <c r="A63" s="57" t="s">
        <v>214</v>
      </c>
      <c r="B63" s="76" t="s">
        <v>215</v>
      </c>
      <c r="C63" s="33">
        <v>64569</v>
      </c>
      <c r="D63" s="33">
        <v>0</v>
      </c>
      <c r="E63" s="33">
        <v>0</v>
      </c>
      <c r="F63" s="24"/>
    </row>
    <row r="64" spans="1:8" ht="59.25" customHeight="1">
      <c r="A64" s="77" t="s">
        <v>36</v>
      </c>
      <c r="B64" s="56" t="s">
        <v>25</v>
      </c>
      <c r="C64" s="33">
        <f>C76+C77+C81+C86+C94+C65+C68+C71+C74+C78+C85+C73+C70+C75</f>
        <v>3937860.93512</v>
      </c>
      <c r="D64" s="33">
        <f>D76+D77+D81+D86+D94+D65+D68+D71+D74+D78+D85+D73+D70+D75</f>
        <v>4501816.78037</v>
      </c>
      <c r="E64" s="33">
        <f>E76+E77+E81+E86+E94+E65+E68+E71+E74+E78+E85+E73+E70+E75</f>
        <v>708371.0339100001</v>
      </c>
      <c r="F64" s="19"/>
      <c r="G64" s="9"/>
      <c r="H64" s="9"/>
    </row>
    <row r="65" spans="1:8" ht="99.75" customHeight="1">
      <c r="A65" s="28" t="s">
        <v>59</v>
      </c>
      <c r="B65" s="59" t="s">
        <v>103</v>
      </c>
      <c r="C65" s="34">
        <f>C66+C67</f>
        <v>1178469.12428</v>
      </c>
      <c r="D65" s="34">
        <f>D66+D67</f>
        <v>2075129.17879</v>
      </c>
      <c r="E65" s="34">
        <f>E66+E67</f>
        <v>0</v>
      </c>
      <c r="F65" s="19"/>
      <c r="G65" s="5"/>
      <c r="H65" s="5"/>
    </row>
    <row r="66" spans="1:8" ht="79.5" customHeight="1">
      <c r="A66" s="28"/>
      <c r="B66" s="14" t="s">
        <v>159</v>
      </c>
      <c r="C66" s="35">
        <f>1124340.6+131680.8-2.21644+115365.87221+99043.4018-554877.51337</f>
        <v>915550.9442000001</v>
      </c>
      <c r="D66" s="35">
        <v>901997.91573</v>
      </c>
      <c r="E66" s="35">
        <v>0</v>
      </c>
      <c r="F66" s="25"/>
      <c r="H66" s="25"/>
    </row>
    <row r="67" spans="1:9" ht="50.25" customHeight="1">
      <c r="A67" s="28"/>
      <c r="B67" s="14" t="s">
        <v>139</v>
      </c>
      <c r="C67" s="35">
        <f>1062725.74+3335.26-0.1953+58761.07979-861903.70441</f>
        <v>262918.1800800001</v>
      </c>
      <c r="D67" s="35">
        <f>154206.05-12190.75-0.12616-10814.32251+1041930.41173</f>
        <v>1173131.26306</v>
      </c>
      <c r="E67" s="35">
        <v>0</v>
      </c>
      <c r="F67" s="29"/>
      <c r="G67" s="29"/>
      <c r="H67" s="29"/>
      <c r="I67" s="12"/>
    </row>
    <row r="68" spans="1:8" ht="64.5" customHeight="1">
      <c r="A68" s="28" t="s">
        <v>94</v>
      </c>
      <c r="B68" s="59" t="s">
        <v>93</v>
      </c>
      <c r="C68" s="34">
        <f>C69</f>
        <v>600</v>
      </c>
      <c r="D68" s="34">
        <f>D69</f>
        <v>0</v>
      </c>
      <c r="E68" s="34">
        <f>E69</f>
        <v>0</v>
      </c>
      <c r="F68" s="19"/>
      <c r="G68" s="5"/>
      <c r="H68" s="5"/>
    </row>
    <row r="69" spans="1:8" ht="62.25" customHeight="1">
      <c r="A69" s="28"/>
      <c r="B69" s="14" t="s">
        <v>150</v>
      </c>
      <c r="C69" s="35">
        <v>600</v>
      </c>
      <c r="D69" s="35">
        <v>0</v>
      </c>
      <c r="E69" s="35">
        <v>0</v>
      </c>
      <c r="F69" s="19"/>
      <c r="G69" s="5"/>
      <c r="H69" s="5"/>
    </row>
    <row r="70" spans="1:8" ht="207.75" customHeight="1">
      <c r="A70" s="30" t="s">
        <v>188</v>
      </c>
      <c r="B70" s="78" t="s">
        <v>189</v>
      </c>
      <c r="C70" s="34">
        <f>8780.5-719.20251</f>
        <v>8061.29749</v>
      </c>
      <c r="D70" s="34"/>
      <c r="E70" s="34"/>
      <c r="F70" s="25"/>
      <c r="G70" s="5"/>
      <c r="H70" s="5"/>
    </row>
    <row r="71" spans="1:11" ht="72" customHeight="1">
      <c r="A71" s="30" t="s">
        <v>87</v>
      </c>
      <c r="B71" s="78" t="s">
        <v>121</v>
      </c>
      <c r="C71" s="34">
        <f>C72</f>
        <v>0</v>
      </c>
      <c r="D71" s="34">
        <f>D72</f>
        <v>0</v>
      </c>
      <c r="E71" s="34">
        <f>E72</f>
        <v>0</v>
      </c>
      <c r="G71" s="5"/>
      <c r="H71" s="5"/>
      <c r="I71" s="5"/>
      <c r="J71" s="5"/>
      <c r="K71" s="5"/>
    </row>
    <row r="72" spans="1:11" ht="171.75" customHeight="1">
      <c r="A72" s="30"/>
      <c r="B72" s="21" t="s">
        <v>120</v>
      </c>
      <c r="C72" s="35">
        <v>0</v>
      </c>
      <c r="D72" s="35">
        <f>304-304</f>
        <v>0</v>
      </c>
      <c r="E72" s="35">
        <f>2938-2938</f>
        <v>0</v>
      </c>
      <c r="F72" s="19"/>
      <c r="G72" s="5"/>
      <c r="H72" s="5"/>
      <c r="I72" s="5"/>
      <c r="J72" s="5"/>
      <c r="K72" s="5"/>
    </row>
    <row r="73" spans="1:11" ht="111.75" customHeight="1">
      <c r="A73" s="30" t="s">
        <v>156</v>
      </c>
      <c r="B73" s="78" t="s">
        <v>157</v>
      </c>
      <c r="C73" s="35">
        <f>44.64-0.03669</f>
        <v>44.60331</v>
      </c>
      <c r="D73" s="35">
        <v>0</v>
      </c>
      <c r="E73" s="35">
        <v>0</v>
      </c>
      <c r="F73" s="25"/>
      <c r="G73" s="5"/>
      <c r="H73" s="5"/>
      <c r="I73" s="5"/>
      <c r="J73" s="5"/>
      <c r="K73" s="5"/>
    </row>
    <row r="74" spans="1:11" ht="80.25" customHeight="1">
      <c r="A74" s="30" t="s">
        <v>90</v>
      </c>
      <c r="B74" s="79" t="s">
        <v>89</v>
      </c>
      <c r="C74" s="34">
        <f>118834.7-0.09258-188.66572-7492.2268</f>
        <v>111153.71489999999</v>
      </c>
      <c r="D74" s="34">
        <f>118834.7-0.09658</f>
        <v>118834.60342</v>
      </c>
      <c r="E74" s="34">
        <f>131071.5-0.00165</f>
        <v>131071.49835</v>
      </c>
      <c r="F74" s="37"/>
      <c r="G74" s="37"/>
      <c r="H74" s="37"/>
      <c r="I74" s="37"/>
      <c r="J74" s="5"/>
      <c r="K74" s="5"/>
    </row>
    <row r="75" spans="1:11" ht="80.25" customHeight="1">
      <c r="A75" s="30" t="s">
        <v>187</v>
      </c>
      <c r="B75" s="64" t="s">
        <v>186</v>
      </c>
      <c r="C75" s="34">
        <f>140637.45+7440+7261.9</f>
        <v>155339.35</v>
      </c>
      <c r="D75" s="34">
        <v>159146.35</v>
      </c>
      <c r="E75" s="34"/>
      <c r="F75" s="37"/>
      <c r="G75" s="37"/>
      <c r="H75" s="37"/>
      <c r="I75" s="37"/>
      <c r="J75" s="5"/>
      <c r="K75" s="5"/>
    </row>
    <row r="76" spans="1:11" ht="79.5" customHeight="1">
      <c r="A76" s="30" t="s">
        <v>49</v>
      </c>
      <c r="B76" s="78" t="s">
        <v>141</v>
      </c>
      <c r="C76" s="34">
        <f>3321.43-0.00142</f>
        <v>3321.42858</v>
      </c>
      <c r="D76" s="34">
        <v>1750</v>
      </c>
      <c r="E76" s="34">
        <f>1851.86-0.00814</f>
        <v>1851.85186</v>
      </c>
      <c r="F76" s="19"/>
      <c r="G76" s="5"/>
      <c r="H76" s="5"/>
      <c r="I76" s="5"/>
      <c r="J76" s="5"/>
      <c r="K76" s="5"/>
    </row>
    <row r="77" spans="1:11" ht="48" customHeight="1">
      <c r="A77" s="30" t="s">
        <v>52</v>
      </c>
      <c r="B77" s="78" t="s">
        <v>203</v>
      </c>
      <c r="C77" s="34">
        <f>29946.5-0.3+221.3</f>
        <v>30167.5</v>
      </c>
      <c r="D77" s="34">
        <v>12146.78</v>
      </c>
      <c r="E77" s="34">
        <v>11240.42</v>
      </c>
      <c r="F77" s="19"/>
      <c r="G77" s="5"/>
      <c r="H77" s="5"/>
      <c r="I77" s="5"/>
      <c r="J77" s="5"/>
      <c r="K77" s="5"/>
    </row>
    <row r="78" spans="1:11" ht="48" customHeight="1">
      <c r="A78" s="30" t="s">
        <v>91</v>
      </c>
      <c r="B78" s="78" t="s">
        <v>92</v>
      </c>
      <c r="C78" s="34">
        <f>C79+C80</f>
        <v>12954.11669</v>
      </c>
      <c r="D78" s="34">
        <f>D79+D80</f>
        <v>10595.12841</v>
      </c>
      <c r="E78" s="34">
        <f>E79+E80</f>
        <v>956.3137</v>
      </c>
      <c r="F78" s="19"/>
      <c r="G78" s="5"/>
      <c r="H78" s="5"/>
      <c r="I78" s="5"/>
      <c r="J78" s="5"/>
      <c r="K78" s="5"/>
    </row>
    <row r="79" spans="1:8" ht="51.75" customHeight="1">
      <c r="A79" s="28"/>
      <c r="B79" s="14" t="s">
        <v>126</v>
      </c>
      <c r="C79" s="35">
        <v>12020</v>
      </c>
      <c r="D79" s="35">
        <v>9657.5</v>
      </c>
      <c r="E79" s="35"/>
      <c r="F79" s="19"/>
      <c r="G79" s="5"/>
      <c r="H79" s="5"/>
    </row>
    <row r="80" spans="1:11" ht="89.25" customHeight="1">
      <c r="A80" s="30"/>
      <c r="B80" s="21" t="s">
        <v>135</v>
      </c>
      <c r="C80" s="34">
        <f>934.12-0.00331</f>
        <v>934.11669</v>
      </c>
      <c r="D80" s="34">
        <f>934.12+1.55+1.96-0.00159</f>
        <v>937.62841</v>
      </c>
      <c r="E80" s="34">
        <f>956.32-0.0063</f>
        <v>956.3137</v>
      </c>
      <c r="F80" s="38"/>
      <c r="G80" s="39"/>
      <c r="H80" s="39"/>
      <c r="I80" s="5"/>
      <c r="J80" s="5"/>
      <c r="K80" s="5"/>
    </row>
    <row r="81" spans="1:11" ht="54" customHeight="1">
      <c r="A81" s="30" t="s">
        <v>53</v>
      </c>
      <c r="B81" s="78" t="s">
        <v>142</v>
      </c>
      <c r="C81" s="34">
        <f>C82+C83+C84</f>
        <v>83564.06</v>
      </c>
      <c r="D81" s="34">
        <f>D82+D83+D84</f>
        <v>0</v>
      </c>
      <c r="E81" s="34">
        <f>E82+E83+E84</f>
        <v>0</v>
      </c>
      <c r="F81" s="19"/>
      <c r="G81" s="5"/>
      <c r="H81" s="16"/>
      <c r="I81" s="5"/>
      <c r="J81" s="5"/>
      <c r="K81" s="5"/>
    </row>
    <row r="82" spans="1:11" ht="44.25" customHeight="1">
      <c r="A82" s="30"/>
      <c r="B82" s="14" t="s">
        <v>205</v>
      </c>
      <c r="C82" s="35">
        <v>17239.6</v>
      </c>
      <c r="D82" s="35">
        <v>0</v>
      </c>
      <c r="E82" s="35">
        <v>0</v>
      </c>
      <c r="F82" s="92"/>
      <c r="G82" s="5"/>
      <c r="H82" s="16"/>
      <c r="I82" s="5"/>
      <c r="J82" s="5"/>
      <c r="K82" s="5"/>
    </row>
    <row r="83" spans="1:7" ht="51.75" customHeight="1">
      <c r="A83" s="28"/>
      <c r="B83" s="14" t="s">
        <v>136</v>
      </c>
      <c r="C83" s="35">
        <f>23555.49+2968.97</f>
        <v>26524.460000000003</v>
      </c>
      <c r="D83" s="35">
        <v>0</v>
      </c>
      <c r="E83" s="35">
        <v>0</v>
      </c>
      <c r="F83" s="19"/>
      <c r="G83" s="5"/>
    </row>
    <row r="84" spans="1:7" ht="51.75" customHeight="1">
      <c r="A84" s="28"/>
      <c r="B84" s="14" t="s">
        <v>155</v>
      </c>
      <c r="C84" s="35">
        <f>40000-200</f>
        <v>39800</v>
      </c>
      <c r="D84" s="35">
        <v>0</v>
      </c>
      <c r="E84" s="35">
        <v>0</v>
      </c>
      <c r="F84" s="19"/>
      <c r="G84" s="5"/>
    </row>
    <row r="85" spans="1:11" s="42" customFormat="1" ht="49.5" customHeight="1">
      <c r="A85" s="28" t="s">
        <v>137</v>
      </c>
      <c r="B85" s="59" t="s">
        <v>138</v>
      </c>
      <c r="C85" s="34">
        <f>109614.85714+12967.01468-0.013</f>
        <v>122581.85882</v>
      </c>
      <c r="D85" s="35">
        <v>0</v>
      </c>
      <c r="E85" s="35">
        <v>0</v>
      </c>
      <c r="F85" s="94"/>
      <c r="G85" s="95"/>
      <c r="H85" s="41"/>
      <c r="I85" s="41"/>
      <c r="J85" s="41"/>
      <c r="K85" s="41"/>
    </row>
    <row r="86" spans="1:11" ht="61.5" customHeight="1">
      <c r="A86" s="28" t="s">
        <v>51</v>
      </c>
      <c r="B86" s="59" t="s">
        <v>107</v>
      </c>
      <c r="C86" s="34">
        <f>C87+C88+C89+C90+C91+C92+C93</f>
        <v>1062586.84</v>
      </c>
      <c r="D86" s="34">
        <f>D87+D88+D89+D90+D91+D92+D93</f>
        <v>925015.3300000001</v>
      </c>
      <c r="E86" s="34">
        <f>E87+E88+E89+E90+E91+E92+E93</f>
        <v>189873.28</v>
      </c>
      <c r="F86" s="19"/>
      <c r="G86" s="5"/>
      <c r="H86" s="5"/>
      <c r="I86" s="5"/>
      <c r="J86" s="5"/>
      <c r="K86" s="5"/>
    </row>
    <row r="87" spans="1:8" ht="66" customHeight="1">
      <c r="A87" s="28"/>
      <c r="B87" s="14" t="s">
        <v>104</v>
      </c>
      <c r="C87" s="35">
        <f>269197.79-27499.09-129819.44</f>
        <v>111879.25999999998</v>
      </c>
      <c r="D87" s="35">
        <v>129819.44</v>
      </c>
      <c r="E87" s="35">
        <v>0</v>
      </c>
      <c r="F87" s="19"/>
      <c r="G87" s="5"/>
      <c r="H87" s="5"/>
    </row>
    <row r="88" spans="1:6" ht="68.25" customHeight="1">
      <c r="A88" s="28"/>
      <c r="B88" s="14" t="s">
        <v>105</v>
      </c>
      <c r="C88" s="35">
        <v>82753.75</v>
      </c>
      <c r="D88" s="35">
        <f>225196.23+266714.64</f>
        <v>491910.87</v>
      </c>
      <c r="E88" s="35">
        <v>0</v>
      </c>
      <c r="F88" s="19"/>
    </row>
    <row r="89" spans="1:8" ht="78" customHeight="1">
      <c r="A89" s="28"/>
      <c r="B89" s="14" t="s">
        <v>106</v>
      </c>
      <c r="C89" s="35">
        <f>493028.65+321491.68-19000</f>
        <v>795520.3300000001</v>
      </c>
      <c r="D89" s="35">
        <v>19000</v>
      </c>
      <c r="E89" s="35">
        <v>0</v>
      </c>
      <c r="F89" s="19"/>
      <c r="G89" s="5"/>
      <c r="H89" s="5"/>
    </row>
    <row r="90" spans="1:9" ht="61.5" customHeight="1">
      <c r="A90" s="28"/>
      <c r="B90" s="14" t="s">
        <v>116</v>
      </c>
      <c r="C90" s="35">
        <v>0</v>
      </c>
      <c r="D90" s="35">
        <v>108800</v>
      </c>
      <c r="E90" s="35">
        <f>260945.28-80000</f>
        <v>180945.28</v>
      </c>
      <c r="F90" s="19"/>
      <c r="G90" s="5"/>
      <c r="H90" s="5"/>
      <c r="I90" s="11"/>
    </row>
    <row r="91" spans="1:9" ht="48.75" customHeight="1">
      <c r="A91" s="28"/>
      <c r="B91" s="14" t="s">
        <v>134</v>
      </c>
      <c r="C91" s="35">
        <v>0</v>
      </c>
      <c r="D91" s="35">
        <v>3720</v>
      </c>
      <c r="E91" s="35">
        <v>8928</v>
      </c>
      <c r="F91" s="19"/>
      <c r="G91" s="5"/>
      <c r="H91" s="5"/>
      <c r="I91" s="11"/>
    </row>
    <row r="92" spans="1:9" ht="48.75" customHeight="1">
      <c r="A92" s="28"/>
      <c r="B92" s="14" t="s">
        <v>127</v>
      </c>
      <c r="C92" s="35">
        <f>24688.77-123.44</f>
        <v>24565.33</v>
      </c>
      <c r="D92" s="35">
        <v>0</v>
      </c>
      <c r="E92" s="35">
        <v>0</v>
      </c>
      <c r="F92" s="19"/>
      <c r="G92" s="5"/>
      <c r="H92" s="5"/>
      <c r="I92" s="11"/>
    </row>
    <row r="93" spans="1:9" ht="48.75" customHeight="1">
      <c r="A93" s="28"/>
      <c r="B93" s="14" t="s">
        <v>151</v>
      </c>
      <c r="C93" s="35">
        <f>47868.17</f>
        <v>47868.17</v>
      </c>
      <c r="D93" s="35">
        <f>71802.25+99962.77</f>
        <v>171765.02000000002</v>
      </c>
      <c r="E93" s="35">
        <v>0</v>
      </c>
      <c r="G93" s="19"/>
      <c r="H93" s="5"/>
      <c r="I93" s="11"/>
    </row>
    <row r="94" spans="1:9" ht="47.25" customHeight="1">
      <c r="A94" s="77" t="s">
        <v>50</v>
      </c>
      <c r="B94" s="56" t="s">
        <v>143</v>
      </c>
      <c r="C94" s="33">
        <f>C95+C96+C97+C98+C99+C100+C101+C102+C103+C104+C105+C106+C107+C108+C109+C110+C111+C112+C113+C114+C115+C116+C117+C118+C119+C120+C121</f>
        <v>1169017.0410499999</v>
      </c>
      <c r="D94" s="33">
        <f>D95+D96+D97+D98+D99+D100+D101+D102+D103+D104+D105+D106+D107+D108+D109+D110+D111+D112+D113+D114+D115+D116+D117+D118+D119+D120+D121</f>
        <v>1199199.40975</v>
      </c>
      <c r="E94" s="33">
        <f>E95+E96+E97+E98+E99+E100+E101+E102+E103+E104+E105+E106+E107+E108+E109+E110+E111+E112+E113+E114+E115+E116+E117+E118+E119+E120+E121</f>
        <v>373377.67000000004</v>
      </c>
      <c r="F94" s="19"/>
      <c r="G94" s="5"/>
      <c r="I94" s="11"/>
    </row>
    <row r="95" spans="1:9" ht="47.25" customHeight="1">
      <c r="A95" s="77"/>
      <c r="B95" s="14" t="s">
        <v>129</v>
      </c>
      <c r="C95" s="35">
        <f>118479.09+157978.21-276457.3</f>
        <v>0</v>
      </c>
      <c r="D95" s="35">
        <f>118481.7+22805.68</f>
        <v>141287.38</v>
      </c>
      <c r="E95" s="35">
        <v>0</v>
      </c>
      <c r="F95" s="19"/>
      <c r="G95" s="5"/>
      <c r="I95" s="11"/>
    </row>
    <row r="96" spans="1:8" ht="109.5" customHeight="1">
      <c r="A96" s="28"/>
      <c r="B96" s="14" t="s">
        <v>119</v>
      </c>
      <c r="C96" s="35">
        <f>65670+3364+508+1660+327</f>
        <v>71529</v>
      </c>
      <c r="D96" s="35">
        <f>65670+3364</f>
        <v>69034</v>
      </c>
      <c r="E96" s="35">
        <f>65670+3364</f>
        <v>69034</v>
      </c>
      <c r="F96" s="19"/>
      <c r="G96" s="5"/>
      <c r="H96" s="5"/>
    </row>
    <row r="97" spans="1:8" ht="77.25" customHeight="1">
      <c r="A97" s="28"/>
      <c r="B97" s="14" t="s">
        <v>95</v>
      </c>
      <c r="C97" s="35">
        <v>9758</v>
      </c>
      <c r="D97" s="35">
        <v>9758</v>
      </c>
      <c r="E97" s="35">
        <v>9758</v>
      </c>
      <c r="F97" s="19"/>
      <c r="G97" s="5"/>
      <c r="H97" s="5"/>
    </row>
    <row r="98" spans="1:8" ht="59.25" customHeight="1">
      <c r="A98" s="28"/>
      <c r="B98" s="14" t="s">
        <v>96</v>
      </c>
      <c r="C98" s="35">
        <f>18057+8167</f>
        <v>26224</v>
      </c>
      <c r="D98" s="35">
        <v>10010</v>
      </c>
      <c r="E98" s="35">
        <v>25010</v>
      </c>
      <c r="F98" s="19"/>
      <c r="G98" s="5"/>
      <c r="H98" s="5"/>
    </row>
    <row r="99" spans="1:8" ht="86.25" customHeight="1">
      <c r="A99" s="28"/>
      <c r="B99" s="14" t="s">
        <v>97</v>
      </c>
      <c r="C99" s="35">
        <f>34065-408</f>
        <v>33657</v>
      </c>
      <c r="D99" s="35">
        <f>34473-508</f>
        <v>33965</v>
      </c>
      <c r="E99" s="35">
        <f>30429-360</f>
        <v>30069</v>
      </c>
      <c r="F99" s="19"/>
      <c r="G99" s="5"/>
      <c r="H99" s="5"/>
    </row>
    <row r="100" spans="1:7" ht="137.25" customHeight="1">
      <c r="A100" s="28"/>
      <c r="B100" s="14" t="s">
        <v>98</v>
      </c>
      <c r="C100" s="35">
        <v>5551.8</v>
      </c>
      <c r="D100" s="35">
        <v>2775.9</v>
      </c>
      <c r="E100" s="35">
        <v>0</v>
      </c>
      <c r="F100" s="19"/>
      <c r="G100" s="5"/>
    </row>
    <row r="101" spans="1:7" ht="54.75" customHeight="1">
      <c r="A101" s="28"/>
      <c r="B101" s="14" t="s">
        <v>99</v>
      </c>
      <c r="C101" s="35">
        <f>6392.44+8789.62</f>
        <v>15182.060000000001</v>
      </c>
      <c r="D101" s="35">
        <v>6288.28</v>
      </c>
      <c r="E101" s="35">
        <v>5868.67</v>
      </c>
      <c r="F101" s="19"/>
      <c r="G101" s="5"/>
    </row>
    <row r="102" spans="1:7" ht="124.5" customHeight="1">
      <c r="A102" s="28"/>
      <c r="B102" s="14" t="s">
        <v>122</v>
      </c>
      <c r="C102" s="35">
        <f>594-594</f>
        <v>0</v>
      </c>
      <c r="D102" s="35">
        <v>594</v>
      </c>
      <c r="E102" s="35">
        <v>594</v>
      </c>
      <c r="F102" s="19"/>
      <c r="G102" s="5"/>
    </row>
    <row r="103" spans="1:7" ht="90" customHeight="1">
      <c r="A103" s="28"/>
      <c r="B103" s="14" t="s">
        <v>154</v>
      </c>
      <c r="C103" s="35">
        <f>91811+52201-2970-3842</f>
        <v>137200</v>
      </c>
      <c r="D103" s="35">
        <v>0</v>
      </c>
      <c r="E103" s="35">
        <v>0</v>
      </c>
      <c r="F103" s="19"/>
      <c r="G103" s="5"/>
    </row>
    <row r="104" spans="1:7" ht="51.75" customHeight="1">
      <c r="A104" s="28"/>
      <c r="B104" s="14" t="s">
        <v>124</v>
      </c>
      <c r="C104" s="35">
        <f>17984.19-1070.73+1070.74-12967.01468-253.3302-1211.45489</f>
        <v>3552.40023</v>
      </c>
      <c r="D104" s="35">
        <f>13012.62+10387.38+1211.45489</f>
        <v>24611.45489</v>
      </c>
      <c r="E104" s="35">
        <v>0</v>
      </c>
      <c r="F104" s="25"/>
      <c r="G104" s="25"/>
    </row>
    <row r="105" spans="1:7" s="42" customFormat="1" ht="62.25" customHeight="1">
      <c r="A105" s="28"/>
      <c r="B105" s="14" t="s">
        <v>125</v>
      </c>
      <c r="C105" s="35">
        <f>192845.83-9612.91+9612.9+0.0006-109614.85714+33718.2214099999-48896.74186</f>
        <v>68052.44300999987</v>
      </c>
      <c r="D105" s="35">
        <f>176604.18-0.004+108604.384+48896.74186</f>
        <v>334105.30186</v>
      </c>
      <c r="E105" s="35">
        <v>0</v>
      </c>
      <c r="F105" s="43"/>
      <c r="G105" s="41"/>
    </row>
    <row r="106" spans="1:7" ht="51.75" customHeight="1">
      <c r="A106" s="28"/>
      <c r="B106" s="14" t="s">
        <v>133</v>
      </c>
      <c r="C106" s="35">
        <f>16785.25+11243.99-335.563+0.00081</f>
        <v>27693.67781</v>
      </c>
      <c r="D106" s="35">
        <f>21464.36-3262.904+335.564</f>
        <v>18537.02</v>
      </c>
      <c r="E106" s="35">
        <v>0</v>
      </c>
      <c r="F106" s="19"/>
      <c r="G106" s="5"/>
    </row>
    <row r="107" spans="1:7" ht="81" customHeight="1">
      <c r="A107" s="28"/>
      <c r="B107" s="14" t="s">
        <v>149</v>
      </c>
      <c r="C107" s="35">
        <f>11989.46-11989.46</f>
        <v>0</v>
      </c>
      <c r="D107" s="35">
        <f>15331.68-7933.886+11989.46</f>
        <v>19387.254</v>
      </c>
      <c r="E107" s="35">
        <v>0</v>
      </c>
      <c r="F107" s="19"/>
      <c r="G107" s="5"/>
    </row>
    <row r="108" spans="1:7" ht="61.5" customHeight="1">
      <c r="A108" s="28"/>
      <c r="B108" s="14" t="s">
        <v>153</v>
      </c>
      <c r="C108" s="35">
        <f>48450+14805-998+7409.74</f>
        <v>69666.74</v>
      </c>
      <c r="D108" s="35">
        <v>0</v>
      </c>
      <c r="E108" s="35">
        <v>0</v>
      </c>
      <c r="F108" s="19"/>
      <c r="G108" s="5"/>
    </row>
    <row r="109" spans="1:7" ht="42" customHeight="1">
      <c r="A109" s="28"/>
      <c r="B109" s="14" t="s">
        <v>117</v>
      </c>
      <c r="C109" s="35">
        <f>67350.82-1924.52</f>
        <v>65426.30000000001</v>
      </c>
      <c r="D109" s="35">
        <v>0</v>
      </c>
      <c r="E109" s="35">
        <v>0</v>
      </c>
      <c r="G109" s="5"/>
    </row>
    <row r="110" spans="1:7" ht="54" customHeight="1">
      <c r="A110" s="28"/>
      <c r="B110" s="14" t="s">
        <v>152</v>
      </c>
      <c r="C110" s="35">
        <f>176597-12814</f>
        <v>163783</v>
      </c>
      <c r="D110" s="35">
        <v>283207</v>
      </c>
      <c r="E110" s="35">
        <v>211506</v>
      </c>
      <c r="F110" s="19"/>
      <c r="G110" s="5"/>
    </row>
    <row r="111" spans="1:7" ht="81" customHeight="1">
      <c r="A111" s="28"/>
      <c r="B111" s="14" t="s">
        <v>164</v>
      </c>
      <c r="C111" s="35">
        <f>26487.46+0.54+23424.139+8862.281+15571.4</f>
        <v>74345.81999999999</v>
      </c>
      <c r="D111" s="35">
        <f>90379.14+25185.019</f>
        <v>115564.159</v>
      </c>
      <c r="E111" s="35">
        <v>0</v>
      </c>
      <c r="F111" s="87"/>
      <c r="G111" s="5"/>
    </row>
    <row r="112" spans="1:7" ht="81" customHeight="1">
      <c r="A112" s="28"/>
      <c r="B112" s="21" t="s">
        <v>118</v>
      </c>
      <c r="C112" s="35">
        <f>7969.5-39.84</f>
        <v>7929.66</v>
      </c>
      <c r="D112" s="35">
        <v>0</v>
      </c>
      <c r="E112" s="35">
        <v>0</v>
      </c>
      <c r="F112" s="19"/>
      <c r="G112" s="5"/>
    </row>
    <row r="113" spans="1:7" ht="81" customHeight="1">
      <c r="A113" s="28"/>
      <c r="B113" s="14" t="s">
        <v>128</v>
      </c>
      <c r="C113" s="35">
        <f>15280.32-11580.52-1613.47-4.3</f>
        <v>2082.029999999999</v>
      </c>
      <c r="D113" s="35">
        <v>0</v>
      </c>
      <c r="E113" s="35">
        <v>0</v>
      </c>
      <c r="F113" s="19"/>
      <c r="G113" s="5"/>
    </row>
    <row r="114" spans="1:8" ht="81" customHeight="1">
      <c r="A114" s="28"/>
      <c r="B114" s="14" t="s">
        <v>185</v>
      </c>
      <c r="C114" s="35">
        <v>0</v>
      </c>
      <c r="D114" s="35">
        <v>304</v>
      </c>
      <c r="E114" s="35">
        <v>2938</v>
      </c>
      <c r="F114" s="19"/>
      <c r="G114" s="5"/>
      <c r="H114" s="5"/>
    </row>
    <row r="115" spans="1:8" ht="81" customHeight="1">
      <c r="A115" s="28"/>
      <c r="B115" s="14" t="s">
        <v>163</v>
      </c>
      <c r="C115" s="35">
        <v>0</v>
      </c>
      <c r="D115" s="35">
        <v>0</v>
      </c>
      <c r="E115" s="35">
        <f>146865.6-128265.6</f>
        <v>18600</v>
      </c>
      <c r="F115" s="19"/>
      <c r="G115" s="5"/>
      <c r="H115" s="5"/>
    </row>
    <row r="116" spans="1:8" ht="47.25" customHeight="1">
      <c r="A116" s="28"/>
      <c r="B116" s="14" t="s">
        <v>129</v>
      </c>
      <c r="C116" s="35">
        <v>187177.3</v>
      </c>
      <c r="D116" s="35">
        <v>89280</v>
      </c>
      <c r="E116" s="35">
        <v>0</v>
      </c>
      <c r="F116" s="19"/>
      <c r="G116" s="5"/>
      <c r="H116" s="5"/>
    </row>
    <row r="117" spans="1:8" ht="81" customHeight="1">
      <c r="A117" s="28"/>
      <c r="B117" s="90" t="s">
        <v>199</v>
      </c>
      <c r="C117" s="35">
        <v>20117.76</v>
      </c>
      <c r="D117" s="35">
        <v>0</v>
      </c>
      <c r="E117" s="35">
        <v>0</v>
      </c>
      <c r="F117" s="19"/>
      <c r="G117" s="5"/>
      <c r="H117" s="5"/>
    </row>
    <row r="118" spans="1:8" ht="81" customHeight="1">
      <c r="A118" s="28"/>
      <c r="B118" s="90" t="s">
        <v>198</v>
      </c>
      <c r="C118" s="35">
        <v>0</v>
      </c>
      <c r="D118" s="35">
        <v>29332.8</v>
      </c>
      <c r="E118" s="35">
        <v>0</v>
      </c>
      <c r="F118" s="19"/>
      <c r="G118" s="5"/>
      <c r="H118" s="5"/>
    </row>
    <row r="119" spans="1:8" ht="62.25" customHeight="1">
      <c r="A119" s="28"/>
      <c r="B119" s="89" t="s">
        <v>202</v>
      </c>
      <c r="C119" s="35"/>
      <c r="D119" s="35">
        <v>11157.86</v>
      </c>
      <c r="E119" s="35"/>
      <c r="F119" s="19"/>
      <c r="G119" s="5"/>
      <c r="H119" s="5"/>
    </row>
    <row r="120" spans="1:8" ht="62.25" customHeight="1">
      <c r="A120" s="28"/>
      <c r="B120" s="89" t="s">
        <v>211</v>
      </c>
      <c r="C120" s="93">
        <v>4715</v>
      </c>
      <c r="D120" s="35">
        <v>0</v>
      </c>
      <c r="E120" s="35">
        <v>0</v>
      </c>
      <c r="F120" s="19"/>
      <c r="G120" s="5"/>
      <c r="H120" s="5"/>
    </row>
    <row r="121" spans="1:7" ht="72" customHeight="1">
      <c r="A121" s="28"/>
      <c r="B121" s="14" t="s">
        <v>165</v>
      </c>
      <c r="C121" s="35">
        <f>161587.78-0.007+13785.277</f>
        <v>175373.05</v>
      </c>
      <c r="D121" s="35">
        <v>0</v>
      </c>
      <c r="E121" s="35">
        <v>0</v>
      </c>
      <c r="F121" s="40"/>
      <c r="G121" s="5"/>
    </row>
    <row r="122" spans="1:10" ht="44.25" customHeight="1">
      <c r="A122" s="80" t="s">
        <v>35</v>
      </c>
      <c r="B122" s="56" t="s">
        <v>26</v>
      </c>
      <c r="C122" s="33">
        <f>C123+C136+C137+C142+C138+C141+C140+C139</f>
        <v>3805606.6679999996</v>
      </c>
      <c r="D122" s="33">
        <f>D123+D136+D137+D142+D138+D141+D140</f>
        <v>3609507.3499999996</v>
      </c>
      <c r="E122" s="33">
        <f>E123+E136+E137+E142+E138+E141+E140</f>
        <v>3595004.4499999997</v>
      </c>
      <c r="F122" s="11"/>
      <c r="G122" s="9"/>
      <c r="H122" s="9"/>
      <c r="I122" s="9"/>
      <c r="J122" s="9"/>
    </row>
    <row r="123" spans="1:8" ht="60.75" customHeight="1">
      <c r="A123" s="8" t="s">
        <v>54</v>
      </c>
      <c r="B123" s="56" t="s">
        <v>144</v>
      </c>
      <c r="C123" s="33">
        <f>C124+C125+C126+C127+C128+C129+C130+C131+C132+C135+C133+C134</f>
        <v>50136.55</v>
      </c>
      <c r="D123" s="33">
        <f>D124+D125+D126+D127+D128+D129+D130+D131+D132+D135+D133+D134</f>
        <v>55784.55</v>
      </c>
      <c r="E123" s="33">
        <f>E124+E125+E126+E127+E128+E129+E130+E131+E132+E135+E133+E134</f>
        <v>56211.55</v>
      </c>
      <c r="F123" s="11"/>
      <c r="H123" s="10"/>
    </row>
    <row r="124" spans="1:9" s="12" customFormat="1" ht="99.75" customHeight="1">
      <c r="A124" s="15"/>
      <c r="B124" s="14" t="s">
        <v>108</v>
      </c>
      <c r="C124" s="35">
        <f>1519+169-1579</f>
        <v>109</v>
      </c>
      <c r="D124" s="35">
        <f>1519+169</f>
        <v>1688</v>
      </c>
      <c r="E124" s="35">
        <f>1519+169</f>
        <v>1688</v>
      </c>
      <c r="F124" s="20"/>
      <c r="G124" s="17"/>
      <c r="H124" s="18"/>
      <c r="I124" s="17"/>
    </row>
    <row r="125" spans="1:9" s="12" customFormat="1" ht="103.5" customHeight="1">
      <c r="A125" s="15"/>
      <c r="B125" s="13" t="s">
        <v>109</v>
      </c>
      <c r="C125" s="36">
        <f>12876-8023-3041</f>
        <v>1812</v>
      </c>
      <c r="D125" s="35">
        <v>5723</v>
      </c>
      <c r="E125" s="35">
        <v>6049</v>
      </c>
      <c r="F125" s="20"/>
      <c r="G125" s="17"/>
      <c r="H125" s="18"/>
      <c r="I125" s="17"/>
    </row>
    <row r="126" spans="1:9" s="12" customFormat="1" ht="102" customHeight="1">
      <c r="A126" s="15"/>
      <c r="B126" s="14" t="s">
        <v>110</v>
      </c>
      <c r="C126" s="36">
        <v>6559</v>
      </c>
      <c r="D126" s="35">
        <v>6588</v>
      </c>
      <c r="E126" s="35">
        <v>6605</v>
      </c>
      <c r="F126" s="20"/>
      <c r="G126" s="17"/>
      <c r="H126" s="18"/>
      <c r="I126" s="17"/>
    </row>
    <row r="127" spans="1:9" s="12" customFormat="1" ht="108" customHeight="1">
      <c r="A127" s="15"/>
      <c r="B127" s="14" t="s">
        <v>111</v>
      </c>
      <c r="C127" s="36">
        <v>9279</v>
      </c>
      <c r="D127" s="35">
        <v>9389</v>
      </c>
      <c r="E127" s="35">
        <v>9473</v>
      </c>
      <c r="F127" s="20"/>
      <c r="G127" s="17"/>
      <c r="H127" s="18"/>
      <c r="I127" s="17"/>
    </row>
    <row r="128" spans="1:9" s="12" customFormat="1" ht="87.75" customHeight="1">
      <c r="A128" s="15"/>
      <c r="B128" s="14" t="s">
        <v>160</v>
      </c>
      <c r="C128" s="36">
        <f>4995-605</f>
        <v>4390</v>
      </c>
      <c r="D128" s="36">
        <f>4995-1087</f>
        <v>3908</v>
      </c>
      <c r="E128" s="36">
        <f>4995-1087</f>
        <v>3908</v>
      </c>
      <c r="F128" s="20"/>
      <c r="G128" s="17"/>
      <c r="H128" s="17"/>
      <c r="I128" s="17"/>
    </row>
    <row r="129" spans="1:9" s="12" customFormat="1" ht="86.25" customHeight="1">
      <c r="A129" s="15"/>
      <c r="B129" s="14" t="s">
        <v>112</v>
      </c>
      <c r="C129" s="36">
        <f>785+470</f>
        <v>1255</v>
      </c>
      <c r="D129" s="36">
        <v>785</v>
      </c>
      <c r="E129" s="36">
        <v>785</v>
      </c>
      <c r="F129" s="20"/>
      <c r="G129" s="17"/>
      <c r="H129" s="18"/>
      <c r="I129" s="17"/>
    </row>
    <row r="130" spans="1:9" s="12" customFormat="1" ht="228" customHeight="1">
      <c r="A130" s="15"/>
      <c r="B130" s="14" t="s">
        <v>113</v>
      </c>
      <c r="C130" s="36">
        <v>996</v>
      </c>
      <c r="D130" s="36">
        <v>996</v>
      </c>
      <c r="E130" s="36">
        <v>996</v>
      </c>
      <c r="F130" s="20"/>
      <c r="G130" s="17"/>
      <c r="H130" s="18"/>
      <c r="I130" s="17"/>
    </row>
    <row r="131" spans="1:9" s="12" customFormat="1" ht="111.75" customHeight="1">
      <c r="A131" s="15"/>
      <c r="B131" s="14" t="s">
        <v>114</v>
      </c>
      <c r="C131" s="35">
        <f>3728-332-896</f>
        <v>2500</v>
      </c>
      <c r="D131" s="35">
        <v>3728</v>
      </c>
      <c r="E131" s="35">
        <v>3728</v>
      </c>
      <c r="F131" s="20"/>
      <c r="G131" s="17"/>
      <c r="H131" s="18"/>
      <c r="I131" s="17"/>
    </row>
    <row r="132" spans="1:9" s="12" customFormat="1" ht="90" customHeight="1">
      <c r="A132" s="15"/>
      <c r="B132" s="14" t="s">
        <v>115</v>
      </c>
      <c r="C132" s="35">
        <v>13920</v>
      </c>
      <c r="D132" s="35">
        <v>13920</v>
      </c>
      <c r="E132" s="35">
        <v>13920</v>
      </c>
      <c r="F132" s="20"/>
      <c r="G132" s="17"/>
      <c r="H132" s="18"/>
      <c r="I132" s="17"/>
    </row>
    <row r="133" spans="1:9" s="12" customFormat="1" ht="90" customHeight="1">
      <c r="A133" s="15"/>
      <c r="B133" s="14" t="s">
        <v>140</v>
      </c>
      <c r="C133" s="35">
        <f>1206+257</f>
        <v>1463</v>
      </c>
      <c r="D133" s="35">
        <v>1206</v>
      </c>
      <c r="E133" s="35">
        <v>1206</v>
      </c>
      <c r="F133" s="20"/>
      <c r="G133" s="17"/>
      <c r="H133" s="18"/>
      <c r="I133" s="17"/>
    </row>
    <row r="134" spans="1:9" s="12" customFormat="1" ht="90" customHeight="1">
      <c r="A134" s="15"/>
      <c r="B134" s="14" t="s">
        <v>158</v>
      </c>
      <c r="C134" s="35">
        <v>3983</v>
      </c>
      <c r="D134" s="35">
        <v>3983</v>
      </c>
      <c r="E134" s="35">
        <v>3983</v>
      </c>
      <c r="F134" s="20"/>
      <c r="G134" s="17"/>
      <c r="H134" s="18"/>
      <c r="I134" s="17"/>
    </row>
    <row r="135" spans="1:9" s="12" customFormat="1" ht="109.5" customHeight="1">
      <c r="A135" s="15"/>
      <c r="B135" s="14" t="s">
        <v>130</v>
      </c>
      <c r="C135" s="35">
        <f>3854.62+15.93</f>
        <v>3870.5499999999997</v>
      </c>
      <c r="D135" s="35">
        <f>3854.62+15.93</f>
        <v>3870.5499999999997</v>
      </c>
      <c r="E135" s="35">
        <f>3854.62+15.93</f>
        <v>3870.5499999999997</v>
      </c>
      <c r="F135" s="20"/>
      <c r="G135" s="20"/>
      <c r="H135" s="20"/>
      <c r="I135" s="17"/>
    </row>
    <row r="136" spans="1:9" ht="93.75" customHeight="1">
      <c r="A136" s="7" t="s">
        <v>55</v>
      </c>
      <c r="B136" s="81" t="s">
        <v>162</v>
      </c>
      <c r="C136" s="34">
        <f>66921-2552</f>
        <v>64369</v>
      </c>
      <c r="D136" s="34">
        <v>66921</v>
      </c>
      <c r="E136" s="34">
        <v>66921</v>
      </c>
      <c r="F136" s="19"/>
      <c r="G136" s="5"/>
      <c r="H136" s="5"/>
      <c r="I136" s="5"/>
    </row>
    <row r="137" spans="1:9" ht="82.5" customHeight="1">
      <c r="A137" s="7" t="s">
        <v>57</v>
      </c>
      <c r="B137" s="59" t="s">
        <v>146</v>
      </c>
      <c r="C137" s="34">
        <f>149285+39344-13805</f>
        <v>174824</v>
      </c>
      <c r="D137" s="34">
        <v>82107</v>
      </c>
      <c r="E137" s="34">
        <v>67178</v>
      </c>
      <c r="F137" s="19"/>
      <c r="G137" s="5"/>
      <c r="H137" s="5"/>
      <c r="I137" s="5"/>
    </row>
    <row r="138" spans="1:9" ht="72" customHeight="1">
      <c r="A138" s="7" t="s">
        <v>58</v>
      </c>
      <c r="B138" s="59" t="s">
        <v>145</v>
      </c>
      <c r="C138" s="34">
        <f>8.3-8.182</f>
        <v>0.11800000000000033</v>
      </c>
      <c r="D138" s="34">
        <v>8.8</v>
      </c>
      <c r="E138" s="34">
        <v>7.9</v>
      </c>
      <c r="F138" s="40"/>
      <c r="G138" s="5"/>
      <c r="H138" s="5"/>
      <c r="I138" s="5"/>
    </row>
    <row r="139" spans="1:9" ht="72" customHeight="1">
      <c r="A139" s="91" t="s">
        <v>200</v>
      </c>
      <c r="B139" s="88" t="s">
        <v>201</v>
      </c>
      <c r="C139" s="34">
        <v>2450</v>
      </c>
      <c r="D139" s="34">
        <v>0</v>
      </c>
      <c r="E139" s="34">
        <v>0</v>
      </c>
      <c r="F139" s="40"/>
      <c r="G139" s="5"/>
      <c r="H139" s="5"/>
      <c r="I139" s="5"/>
    </row>
    <row r="140" spans="1:9" ht="114" customHeight="1">
      <c r="A140" s="7" t="s">
        <v>183</v>
      </c>
      <c r="B140" s="59" t="s">
        <v>184</v>
      </c>
      <c r="C140" s="34">
        <v>8072</v>
      </c>
      <c r="D140" s="34">
        <v>7957</v>
      </c>
      <c r="E140" s="34">
        <v>7957</v>
      </c>
      <c r="F140" s="38"/>
      <c r="G140" s="39"/>
      <c r="H140" s="39"/>
      <c r="I140" s="5"/>
    </row>
    <row r="141" spans="1:9" ht="72" customHeight="1">
      <c r="A141" s="7" t="s">
        <v>178</v>
      </c>
      <c r="B141" s="59" t="s">
        <v>179</v>
      </c>
      <c r="C141" s="34">
        <f>82190+1138</f>
        <v>83328</v>
      </c>
      <c r="D141" s="34">
        <v>83036</v>
      </c>
      <c r="E141" s="34">
        <v>83036</v>
      </c>
      <c r="F141" s="19"/>
      <c r="G141" s="5"/>
      <c r="H141" s="5"/>
      <c r="I141" s="5"/>
    </row>
    <row r="142" spans="1:9" ht="37.5" customHeight="1">
      <c r="A142" s="7" t="s">
        <v>56</v>
      </c>
      <c r="B142" s="59" t="s">
        <v>102</v>
      </c>
      <c r="C142" s="34">
        <f>C143+C144</f>
        <v>3422427</v>
      </c>
      <c r="D142" s="34">
        <f>D143+D144</f>
        <v>3313693</v>
      </c>
      <c r="E142" s="34">
        <f>E143+E144</f>
        <v>3313693</v>
      </c>
      <c r="F142" s="19"/>
      <c r="G142" s="5"/>
      <c r="H142" s="5"/>
      <c r="I142" s="5"/>
    </row>
    <row r="143" spans="1:9" ht="192" customHeight="1">
      <c r="A143" s="7"/>
      <c r="B143" s="14" t="s">
        <v>100</v>
      </c>
      <c r="C143" s="35">
        <f>118309+2038-57+16561</f>
        <v>136851</v>
      </c>
      <c r="D143" s="35">
        <f>118309+2038</f>
        <v>120347</v>
      </c>
      <c r="E143" s="35">
        <f>118309+2038</f>
        <v>120347</v>
      </c>
      <c r="F143" s="19"/>
      <c r="G143" s="5"/>
      <c r="H143" s="5"/>
      <c r="I143" s="5"/>
    </row>
    <row r="144" spans="1:9" ht="230.25" customHeight="1">
      <c r="A144" s="7"/>
      <c r="B144" s="14" t="s">
        <v>101</v>
      </c>
      <c r="C144" s="35">
        <f>3307453-23845-82190-8072+102056-9826</f>
        <v>3285576</v>
      </c>
      <c r="D144" s="35">
        <f>3311407-27068-83036-7957</f>
        <v>3193346</v>
      </c>
      <c r="E144" s="35">
        <f>3311407-27068-83036-7957</f>
        <v>3193346</v>
      </c>
      <c r="F144" s="19"/>
      <c r="G144" s="5"/>
      <c r="H144" s="5"/>
      <c r="I144" s="5"/>
    </row>
    <row r="145" spans="1:9" ht="41.25" customHeight="1">
      <c r="A145" s="80" t="s">
        <v>38</v>
      </c>
      <c r="B145" s="56" t="s">
        <v>37</v>
      </c>
      <c r="C145" s="32">
        <f>C148+C146+C147</f>
        <v>1160691.29837</v>
      </c>
      <c r="D145" s="32">
        <f>D148+D146+D147</f>
        <v>0</v>
      </c>
      <c r="E145" s="32">
        <f>E148+E146</f>
        <v>0</v>
      </c>
      <c r="F145" s="19"/>
      <c r="G145" s="5"/>
      <c r="H145" s="5"/>
      <c r="I145" s="5"/>
    </row>
    <row r="146" spans="1:9" ht="82.5" customHeight="1">
      <c r="A146" s="7" t="s">
        <v>166</v>
      </c>
      <c r="B146" s="59" t="s">
        <v>167</v>
      </c>
      <c r="C146" s="30">
        <f>70000+100000</f>
        <v>170000</v>
      </c>
      <c r="D146" s="30">
        <v>0</v>
      </c>
      <c r="E146" s="30">
        <v>0</v>
      </c>
      <c r="F146" s="19"/>
      <c r="G146" s="5"/>
      <c r="H146" s="5"/>
      <c r="I146" s="5"/>
    </row>
    <row r="147" spans="1:9" ht="82.5" customHeight="1">
      <c r="A147" s="7" t="s">
        <v>194</v>
      </c>
      <c r="B147" s="59" t="s">
        <v>195</v>
      </c>
      <c r="C147" s="30">
        <v>133.33337</v>
      </c>
      <c r="D147" s="30">
        <v>0</v>
      </c>
      <c r="E147" s="30">
        <v>0</v>
      </c>
      <c r="F147" s="25"/>
      <c r="G147" s="5"/>
      <c r="H147" s="5"/>
      <c r="I147" s="5"/>
    </row>
    <row r="148" spans="1:9" ht="57.75" customHeight="1">
      <c r="A148" s="7" t="s">
        <v>60</v>
      </c>
      <c r="B148" s="59" t="s">
        <v>61</v>
      </c>
      <c r="C148" s="30">
        <f>2000+185858+105400+72138+2535+34+500+17000+46277.55+29831+8958.354+14859+8277+195036+297+23474.935+1686+5199+250000+4799+8866.638+7531.488</f>
        <v>990557.9650000001</v>
      </c>
      <c r="D148" s="34">
        <v>0</v>
      </c>
      <c r="E148" s="34">
        <v>0</v>
      </c>
      <c r="G148" s="5"/>
      <c r="H148" s="5"/>
      <c r="I148" s="5"/>
    </row>
    <row r="149" spans="1:9" ht="57.75" customHeight="1">
      <c r="A149" s="8" t="s">
        <v>192</v>
      </c>
      <c r="B149" s="56" t="s">
        <v>193</v>
      </c>
      <c r="C149" s="32">
        <f>174.46346+1283+323.6875+343.00414</f>
        <v>2124.1551</v>
      </c>
      <c r="D149" s="33">
        <v>0</v>
      </c>
      <c r="E149" s="33">
        <v>0</v>
      </c>
      <c r="F149" s="19"/>
      <c r="G149" s="5"/>
      <c r="H149" s="5"/>
      <c r="I149" s="5"/>
    </row>
    <row r="150" spans="1:9" ht="78.75" customHeight="1">
      <c r="A150" s="82" t="s">
        <v>190</v>
      </c>
      <c r="B150" s="83" t="s">
        <v>191</v>
      </c>
      <c r="C150" s="32">
        <f>1605.16401-111785.2169-40585.57615</f>
        <v>-150765.62904</v>
      </c>
      <c r="D150" s="33">
        <v>0</v>
      </c>
      <c r="E150" s="33">
        <v>0</v>
      </c>
      <c r="F150" s="25"/>
      <c r="G150" s="5"/>
      <c r="H150" s="5"/>
      <c r="I150" s="5"/>
    </row>
    <row r="151" spans="1:9" ht="33" customHeight="1">
      <c r="A151" s="62"/>
      <c r="B151" s="84" t="s">
        <v>22</v>
      </c>
      <c r="C151" s="33">
        <f>C20+C60</f>
        <v>16505991.926999923</v>
      </c>
      <c r="D151" s="33">
        <f>D20+D60</f>
        <v>14744823.812529892</v>
      </c>
      <c r="E151" s="33">
        <f>E20+E60</f>
        <v>10330793.683910001</v>
      </c>
      <c r="F151" s="19"/>
      <c r="G151" s="5"/>
      <c r="H151" s="5"/>
      <c r="I151" s="5"/>
    </row>
    <row r="152" spans="1:6" ht="32.25" customHeight="1">
      <c r="A152" s="99"/>
      <c r="B152" s="99"/>
      <c r="C152" s="99"/>
      <c r="F152" s="11"/>
    </row>
    <row r="153" ht="15.75">
      <c r="F153" s="11"/>
    </row>
    <row r="154" spans="3:6" ht="15.75">
      <c r="C154" s="85"/>
      <c r="F154" s="11"/>
    </row>
    <row r="155" spans="3:6" ht="15.75">
      <c r="C155" s="85"/>
      <c r="F155" s="11"/>
    </row>
    <row r="156" spans="3:6" ht="15.75">
      <c r="C156" s="85"/>
      <c r="F156" s="11"/>
    </row>
    <row r="157" spans="3:6" ht="15.75">
      <c r="C157" s="85"/>
      <c r="F157" s="11"/>
    </row>
    <row r="158" spans="3:6" ht="15.75">
      <c r="C158" s="86"/>
      <c r="F158" s="11"/>
    </row>
    <row r="159" ht="15.75">
      <c r="F159" s="11"/>
    </row>
    <row r="160" ht="15.75">
      <c r="F160" s="11"/>
    </row>
    <row r="161" ht="15.75">
      <c r="F161" s="11"/>
    </row>
    <row r="162" ht="15.75">
      <c r="F162" s="11"/>
    </row>
    <row r="163" ht="15.75">
      <c r="F163" s="11"/>
    </row>
    <row r="164" ht="15.75">
      <c r="F164" s="11"/>
    </row>
    <row r="165" ht="15.75">
      <c r="F165" s="11"/>
    </row>
    <row r="166" ht="15.75">
      <c r="F166" s="11"/>
    </row>
    <row r="167" ht="15.75">
      <c r="F167" s="11"/>
    </row>
    <row r="168" ht="15.75">
      <c r="F168" s="11"/>
    </row>
    <row r="169" ht="15.75">
      <c r="F169" s="11"/>
    </row>
    <row r="170" ht="15.75">
      <c r="F170" s="11"/>
    </row>
    <row r="171" ht="15.75">
      <c r="F171" s="11"/>
    </row>
    <row r="172" ht="15.75">
      <c r="F172" s="11"/>
    </row>
    <row r="173" ht="15.75">
      <c r="F173" s="11"/>
    </row>
    <row r="198" ht="14.25" customHeight="1"/>
    <row r="199" ht="0.75" customHeight="1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2.25" customHeight="1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0.75" customHeight="1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0.75" customHeight="1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0.75" customHeight="1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0.75" customHeight="1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0.75" customHeight="1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2.25" customHeight="1" hidden="1"/>
    <row r="350" ht="15.75" hidden="1"/>
    <row r="351" ht="15.75" hidden="1"/>
    <row r="352" ht="15.75" hidden="1"/>
    <row r="353" ht="15.75" hidden="1"/>
    <row r="354" ht="15.75" hidden="1"/>
    <row r="355" ht="0.75" customHeight="1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0.75" customHeight="1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8" customHeight="1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0.75" customHeight="1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2.25" customHeight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0.75" customHeight="1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</sheetData>
  <sheetProtection/>
  <autoFilter ref="A19:K151"/>
  <mergeCells count="7">
    <mergeCell ref="F85:G85"/>
    <mergeCell ref="A14:E14"/>
    <mergeCell ref="D17:E17"/>
    <mergeCell ref="A152:C152"/>
    <mergeCell ref="A17:A18"/>
    <mergeCell ref="B17:B18"/>
    <mergeCell ref="C17:C18"/>
  </mergeCells>
  <printOptions/>
  <pageMargins left="1.3779527559055118" right="0.3937007874015748" top="0.7874015748031497" bottom="0.7874015748031497" header="0.5118110236220472" footer="0.5118110236220472"/>
  <pageSetup fitToHeight="0" horizontalDpi="600" verticalDpi="600" orientation="portrait" paperSize="9" scale="50" r:id="rId1"/>
  <headerFooter alignWithMargins="0">
    <oddHeader>&amp;C&amp;P</oddHeader>
    <oddFooter>&amp;L8/мз</oddFooter>
  </headerFooter>
  <rowBreaks count="6" manualBreakCount="6">
    <brk id="39" max="4" man="1"/>
    <brk id="56" max="4" man="1"/>
    <brk id="74" max="4" man="1"/>
    <brk id="131" max="4" man="1"/>
    <brk id="144" max="4" man="1"/>
    <brk id="1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Ирина Б. Денисова</cp:lastModifiedBy>
  <cp:lastPrinted>2023-12-22T08:46:44Z</cp:lastPrinted>
  <dcterms:created xsi:type="dcterms:W3CDTF">2004-01-05T10:01:36Z</dcterms:created>
  <dcterms:modified xsi:type="dcterms:W3CDTF">2023-12-22T09:37:46Z</dcterms:modified>
  <cp:category/>
  <cp:version/>
  <cp:contentType/>
  <cp:contentStatus/>
</cp:coreProperties>
</file>