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2" windowWidth="13848" windowHeight="8316" activeTab="0"/>
  </bookViews>
  <sheets>
    <sheet name="2019 год " sheetId="1" r:id="rId1"/>
    <sheet name="Справ.материал" sheetId="2" r:id="rId2"/>
  </sheets>
  <definedNames>
    <definedName name="_xlnm._FilterDatabase" localSheetId="0" hidden="1">'2019 год '!$A$24:$I$1219</definedName>
    <definedName name="_xlnm._FilterDatabase" localSheetId="1" hidden="1">'Справ.материал'!$A$10:$I$1191</definedName>
    <definedName name="Z_2EB26682_1E14_41BF_A300_9871E16F1E86_.wvu.FilterData" localSheetId="0" hidden="1">'2019 год '!$A$25:$F$1219</definedName>
    <definedName name="Z_2EB26682_1E14_41BF_A300_9871E16F1E86_.wvu.FilterData" localSheetId="1" hidden="1">'Справ.материал'!$A$11:$F$1191</definedName>
    <definedName name="Z_2EB26682_1E14_41BF_A300_9871E16F1E86_.wvu.PrintArea" localSheetId="0" hidden="1">'2019 год '!$A$10:$F$1219</definedName>
    <definedName name="Z_2EB26682_1E14_41BF_A300_9871E16F1E86_.wvu.PrintArea" localSheetId="1" hidden="1">'Справ.материал'!$A$2:$F$1191</definedName>
    <definedName name="Z_3708D406_71C9_49CC_A67A_2D2190B41A82_.wvu.FilterData" localSheetId="0" hidden="1">'2019 год '!$A$25:$I$1219</definedName>
    <definedName name="Z_3708D406_71C9_49CC_A67A_2D2190B41A82_.wvu.FilterData" localSheetId="1" hidden="1">'Справ.материал'!$A$11:$I$1191</definedName>
    <definedName name="Z_742DD9F2_8A71_4480_AC11_A74320E5619E_.wvu.FilterData" localSheetId="0" hidden="1">'2019 год '!$A$25:$I$1219</definedName>
    <definedName name="Z_742DD9F2_8A71_4480_AC11_A74320E5619E_.wvu.FilterData" localSheetId="1" hidden="1">'Справ.материал'!$A$11:$I$1191</definedName>
    <definedName name="Z_829AF458_32E9_4EBE_8AEA_C1C6BE533EAE_.wvu.FilterData" localSheetId="0" hidden="1">'2019 год '!$A$25:$I$1219</definedName>
    <definedName name="Z_829AF458_32E9_4EBE_8AEA_C1C6BE533EAE_.wvu.FilterData" localSheetId="1" hidden="1">'Справ.материал'!$A$11:$I$1191</definedName>
    <definedName name="Z_829AF458_32E9_4EBE_8AEA_C1C6BE533EAE_.wvu.PrintArea" localSheetId="0" hidden="1">'2019 год '!$A$10:$F$1235</definedName>
    <definedName name="Z_829AF458_32E9_4EBE_8AEA_C1C6BE533EAE_.wvu.PrintArea" localSheetId="1" hidden="1">'Справ.материал'!$A$2:$F$1207</definedName>
    <definedName name="Z_829AF458_32E9_4EBE_8AEA_C1C6BE533EAE_.wvu.PrintTitles" localSheetId="0" hidden="1">'2019 год '!$22:$24</definedName>
    <definedName name="Z_829AF458_32E9_4EBE_8AEA_C1C6BE533EAE_.wvu.PrintTitles" localSheetId="1" hidden="1">'Справ.материал'!$8:$10</definedName>
    <definedName name="Z_829AF458_32E9_4EBE_8AEA_C1C6BE533EAE_.wvu.Rows" localSheetId="0" hidden="1">'2019 год '!#REF!</definedName>
    <definedName name="Z_829AF458_32E9_4EBE_8AEA_C1C6BE533EAE_.wvu.Rows" localSheetId="1" hidden="1">'Справ.материал'!#REF!</definedName>
    <definedName name="Z_8E538972_DCB6_4DF0_B6A0_1DAF22EE85A5_.wvu.FilterData" localSheetId="0" hidden="1">'2019 год '!$A$25:$F$1219</definedName>
    <definedName name="Z_8E538972_DCB6_4DF0_B6A0_1DAF22EE85A5_.wvu.FilterData" localSheetId="1" hidden="1">'Справ.материал'!$A$11:$F$1191</definedName>
    <definedName name="Z_8E538972_DCB6_4DF0_B6A0_1DAF22EE85A5_.wvu.PrintArea" localSheetId="0" hidden="1">'2019 год '!$A$10:$F$1219</definedName>
    <definedName name="Z_8E538972_DCB6_4DF0_B6A0_1DAF22EE85A5_.wvu.PrintArea" localSheetId="1" hidden="1">'Справ.материал'!$A$2:$F$1191</definedName>
    <definedName name="Z_9EB2C763_BF55_421A_9B12_FB75DAF70818_.wvu.FilterData" localSheetId="0" hidden="1">'2019 год '!$A$19:$F$1219</definedName>
    <definedName name="Z_9EB2C763_BF55_421A_9B12_FB75DAF70818_.wvu.FilterData" localSheetId="1" hidden="1">'Справ.материал'!$A$5:$F$1191</definedName>
    <definedName name="Z_A8461B4A_AE19_4EF2_B6F9_F9B973A06FD1_.wvu.FilterData" localSheetId="0" hidden="1">'2019 год '!$A$25:$F$1219</definedName>
    <definedName name="Z_A8461B4A_AE19_4EF2_B6F9_F9B973A06FD1_.wvu.FilterData" localSheetId="1" hidden="1">'Справ.материал'!$A$11:$F$1191</definedName>
    <definedName name="Z_A8461B4A_AE19_4EF2_B6F9_F9B973A06FD1_.wvu.PrintArea" localSheetId="0" hidden="1">'2019 год '!$A$10:$F$1219</definedName>
    <definedName name="Z_A8461B4A_AE19_4EF2_B6F9_F9B973A06FD1_.wvu.PrintArea" localSheetId="1" hidden="1">'Справ.материал'!$A$2:$F$1191</definedName>
    <definedName name="Z_B3932895_A846_447D_8D2E_8A665303D3FC_.wvu.FilterData" localSheetId="0" hidden="1">'2019 год '!$A$19:$F$1219</definedName>
    <definedName name="Z_B3932895_A846_447D_8D2E_8A665303D3FC_.wvu.FilterData" localSheetId="1" hidden="1">'Справ.материал'!$A$5:$F$1191</definedName>
    <definedName name="Z_B452F1D7_E242_4E66_AEEE_75884A98B5E4_.wvu.FilterData" localSheetId="0" hidden="1">'2019 год '!$A$25:$I$1219</definedName>
    <definedName name="Z_B452F1D7_E242_4E66_AEEE_75884A98B5E4_.wvu.FilterData" localSheetId="1" hidden="1">'Справ.материал'!$A$11:$I$1191</definedName>
    <definedName name="Z_D0B00AD6_8582_4105_AEEE_647425D7F180_.wvu.FilterData" localSheetId="0" hidden="1">'2019 год '!$A$19:$F$1219</definedName>
    <definedName name="Z_D0B00AD6_8582_4105_AEEE_647425D7F180_.wvu.FilterData" localSheetId="1" hidden="1">'Справ.материал'!$A$5:$F$1191</definedName>
    <definedName name="Z_DEEAFF70_302D_4EE4_8D9C_7BB1BBA5AB30_.wvu.FilterData" localSheetId="0" hidden="1">'2019 год '!$A$25:$I$1219</definedName>
    <definedName name="Z_DEEAFF70_302D_4EE4_8D9C_7BB1BBA5AB30_.wvu.FilterData" localSheetId="1" hidden="1">'Справ.материал'!$A$11:$I$1191</definedName>
    <definedName name="Z_E26F76F3_B5FD_4390_A599_DF837A45612F_.wvu.FilterData" localSheetId="0" hidden="1">'2019 год '!$A$19:$F$1219</definedName>
    <definedName name="Z_E26F76F3_B5FD_4390_A599_DF837A45612F_.wvu.FilterData" localSheetId="1" hidden="1">'Справ.материал'!$A$5:$F$1191</definedName>
    <definedName name="Z_E6BE4A0A_65C8_4D78_A29F_DDA803BF07E4_.wvu.FilterData" localSheetId="0" hidden="1">'2019 год '!$A$25:$F$1219</definedName>
    <definedName name="Z_E6BE4A0A_65C8_4D78_A29F_DDA803BF07E4_.wvu.FilterData" localSheetId="1" hidden="1">'Справ.материал'!$A$11:$F$1191</definedName>
    <definedName name="Z_E6BE4A0A_65C8_4D78_A29F_DDA803BF07E4_.wvu.PrintArea" localSheetId="0" hidden="1">'2019 год '!$A$10:$F$1219</definedName>
    <definedName name="Z_E6BE4A0A_65C8_4D78_A29F_DDA803BF07E4_.wvu.PrintArea" localSheetId="1" hidden="1">'Справ.материал'!$A$2:$F$1191</definedName>
    <definedName name="Z_F18CDA44_02C6_4BCD_94BC_76E4781E3F1C_.wvu.FilterData" localSheetId="0" hidden="1">'2019 год '!$A$25:$F$1219</definedName>
    <definedName name="Z_F18CDA44_02C6_4BCD_94BC_76E4781E3F1C_.wvu.FilterData" localSheetId="1" hidden="1">'Справ.материал'!$A$11:$F$1191</definedName>
    <definedName name="Z_F18CDA44_02C6_4BCD_94BC_76E4781E3F1C_.wvu.PrintArea" localSheetId="0" hidden="1">'2019 год '!$A$10:$F$1219</definedName>
    <definedName name="Z_F18CDA44_02C6_4BCD_94BC_76E4781E3F1C_.wvu.PrintArea" localSheetId="1" hidden="1">'Справ.материал'!$A$2:$F$1191</definedName>
    <definedName name="_xlnm.Print_Titles" localSheetId="0">'2019 год '!$23:$24</definedName>
    <definedName name="_xlnm.Print_Titles" localSheetId="1">'Справ.материал'!$9:$10</definedName>
    <definedName name="_xlnm.Print_Area" localSheetId="0">'2019 год '!$A$1:$F$1219</definedName>
    <definedName name="_xlnm.Print_Area" localSheetId="1">'Справ.материал'!$A$1:$F$1191</definedName>
  </definedNames>
  <calcPr fullCalcOnLoad="1"/>
</workbook>
</file>

<file path=xl/sharedStrings.xml><?xml version="1.0" encoding="utf-8"?>
<sst xmlns="http://schemas.openxmlformats.org/spreadsheetml/2006/main" count="8403" uniqueCount="784">
  <si>
    <t>Субвенция на организацию 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</t>
  </si>
  <si>
    <t>Подпрограмма "Снижение рисков и смягчение последствий чрезвычайных ситуаций природного и техногенного характера"</t>
  </si>
  <si>
    <t>Подпрограмма II "Развитие досуговой деятельности, народного творчества и профессионального искусства и создание комфортных условий для отдыха населения"</t>
  </si>
  <si>
    <t>Подпрограмма III "Развитие дополнительного образования, системы воспитания и психолого-социального сопровождения детей и подростков"</t>
  </si>
  <si>
    <t>Подпрограмма IV "Обеспечивающая подпрограмма "</t>
  </si>
  <si>
    <t>Муниципальная программа Сергиево-Посадского муниципального района "Жилище"</t>
  </si>
  <si>
    <t>460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</si>
  <si>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</si>
  <si>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Муниципальная программа  "Снижение административных барьеров, повышение качества предоставления муниципальных услуг на базе муниципального бюджетного учреждения "Многофункциональный центр предоставления государственных и муниципальных услуг Сергиево-Посадского муниципального района"</t>
  </si>
  <si>
    <t>Подпрограмма 1 "Управление муниципальными финансами"</t>
  </si>
  <si>
    <t>Муниципальная  программа  "Управление муниципальным имуществом и земельными ресурсами  Сергиево-Посадского муниципального района"</t>
  </si>
  <si>
    <t>Транспортировка в морг с мест обнаружения или происшествия умерших</t>
  </si>
  <si>
    <t>0409</t>
  </si>
  <si>
    <t>Дорожное хозяйство (дорожные фонды)</t>
  </si>
  <si>
    <t>0503</t>
  </si>
  <si>
    <t>Благоустройство</t>
  </si>
  <si>
    <t xml:space="preserve">Субвенция на выплаты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</t>
  </si>
  <si>
    <t>Уплата взноса на капитальный ремонт муниципального жилищного фонда</t>
  </si>
  <si>
    <t>Социальная поддержка отдельных категорий медицинских работников муниципального района, создание условий для снижения дефицита медицинских кадров</t>
  </si>
  <si>
    <t>Субвенция на обеспечение полноценным питанием беременных женщин, кормящих матерей, а также детей в возрасте до трех лет в Московской области</t>
  </si>
  <si>
    <t>12 0 00 00000</t>
  </si>
  <si>
    <t>12 5 00 00000</t>
  </si>
  <si>
    <t>12 5 00 01000</t>
  </si>
  <si>
    <t>95 0 00 00000</t>
  </si>
  <si>
    <t>95 0 00 04000</t>
  </si>
  <si>
    <t>95 0 00 04980</t>
  </si>
  <si>
    <t>95 0 00 04990</t>
  </si>
  <si>
    <t>12 3 00 00000</t>
  </si>
  <si>
    <t>12 3 00 88880</t>
  </si>
  <si>
    <t>12 5 00 04000</t>
  </si>
  <si>
    <t>12 5 00 04970</t>
  </si>
  <si>
    <t>12 5 00 04980</t>
  </si>
  <si>
    <t>12 5 00 04990</t>
  </si>
  <si>
    <t>03 2 00 00000</t>
  </si>
  <si>
    <t>19 0 00 00000</t>
  </si>
  <si>
    <t>99 0 00 05000</t>
  </si>
  <si>
    <t>06 0 00 00000</t>
  </si>
  <si>
    <t>06 0 00 88880</t>
  </si>
  <si>
    <t>17 0 00 00000</t>
  </si>
  <si>
    <t>17 0 00 88880</t>
  </si>
  <si>
    <t>Обслуживание государственного внутреннего и муниципального долга</t>
  </si>
  <si>
    <t>Обеспечивающая подпрограмма</t>
  </si>
  <si>
    <t>Социальное обеспечение и иные выплаты населению</t>
  </si>
  <si>
    <t>Подпрограмма  "Обеспечение мероприятий гражданской обороны"</t>
  </si>
  <si>
    <t xml:space="preserve">Иные межбюджетные трансферты </t>
  </si>
  <si>
    <t>Мероприятия в сфере дополнительного образования</t>
  </si>
  <si>
    <t>730</t>
  </si>
  <si>
    <t>Субсидии некоммерческим организациям (за исключением муниципальных учреждений)</t>
  </si>
  <si>
    <t>810</t>
  </si>
  <si>
    <t>Московской области</t>
  </si>
  <si>
    <t>Другие вопросы в области здравоохранения</t>
  </si>
  <si>
    <t>Другие вопросы в области культуры, кинематографии</t>
  </si>
  <si>
    <t>0804</t>
  </si>
  <si>
    <t>320</t>
  </si>
  <si>
    <t>Социальные выплаты гражданам, кроме публичных нормативных социальных выплат</t>
  </si>
  <si>
    <t>870</t>
  </si>
  <si>
    <t>Резервные средства</t>
  </si>
  <si>
    <t>тыс.руб.</t>
  </si>
  <si>
    <t>Резервные фонды местных администраций</t>
  </si>
  <si>
    <t>Охрана семьи и детства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</si>
  <si>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</si>
  <si>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</si>
  <si>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 чрезвычайных ситуаций природного и техногенного характера, гражданская оборона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</si>
  <si>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</si>
  <si>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</si>
  <si>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Функционирование высшего должностного лица субъекта Российской Федерации и муниципального образования  </t>
  </si>
  <si>
    <t>Другие расходы на обеспечение деятельности учебно-методических кабинетов, 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</si>
  <si>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>Прочие межбюджетные трансферты общего характера</t>
  </si>
  <si>
    <t>Прочие расходы на обеспечение деятельности центрального аппарата</t>
  </si>
  <si>
    <t xml:space="preserve">Физическая культура </t>
  </si>
  <si>
    <t>1101</t>
  </si>
  <si>
    <t>Средства массовой информации</t>
  </si>
  <si>
    <t>1200</t>
  </si>
  <si>
    <t>1201</t>
  </si>
  <si>
    <t>1202</t>
  </si>
  <si>
    <t>1300</t>
  </si>
  <si>
    <t>1301</t>
  </si>
  <si>
    <t>0113</t>
  </si>
  <si>
    <t>Культура, кинематография</t>
  </si>
  <si>
    <t>Здравоохранение</t>
  </si>
  <si>
    <t>0909</t>
  </si>
  <si>
    <t>Обслуживание муниципального долга</t>
  </si>
  <si>
    <t>1100</t>
  </si>
  <si>
    <t>630</t>
  </si>
  <si>
    <t>Наименование</t>
  </si>
  <si>
    <t>Код</t>
  </si>
  <si>
    <t>ВСЕГО</t>
  </si>
  <si>
    <t>Раздел подраздел</t>
  </si>
  <si>
    <t>Целевая статья</t>
  </si>
  <si>
    <t>Вид расхода</t>
  </si>
  <si>
    <t>0100</t>
  </si>
  <si>
    <t>0500</t>
  </si>
  <si>
    <t>0600</t>
  </si>
  <si>
    <t>0700</t>
  </si>
  <si>
    <t>0701</t>
  </si>
  <si>
    <t>0707</t>
  </si>
  <si>
    <t>0900</t>
  </si>
  <si>
    <t>Жилищно-коммунальное хозяйство</t>
  </si>
  <si>
    <t>Образование</t>
  </si>
  <si>
    <t>Дошкольное образование</t>
  </si>
  <si>
    <t>Общее образование</t>
  </si>
  <si>
    <t>Учреждения по внешкольной работе с детьми</t>
  </si>
  <si>
    <t>Телевидение и радиовещание</t>
  </si>
  <si>
    <t>Периодическая печать и издательства</t>
  </si>
  <si>
    <t>Социальная политика</t>
  </si>
  <si>
    <t>Мобилизационная подготовка экономики</t>
  </si>
  <si>
    <t>Резервные фонды</t>
  </si>
  <si>
    <t>ВСЕГО РАСХОДОВ</t>
  </si>
  <si>
    <t>Процентные платежи по муниципальному долгу</t>
  </si>
  <si>
    <t>0104</t>
  </si>
  <si>
    <t>Обслуживание государственного и муниципального долга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</si>
  <si>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</si>
  <si>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</si>
  <si>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</si>
  <si>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</si>
  <si>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</si>
  <si>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Центральный аппарат</t>
  </si>
  <si>
    <t>Обеспечение деятельности подведомственных учреждений</t>
  </si>
  <si>
    <t>Другие вопросы в области жилищно-коммунального хозяйства</t>
  </si>
  <si>
    <t>Охрана окружающей среды</t>
  </si>
  <si>
    <t>0702</t>
  </si>
  <si>
    <t>Другие вопросы в области образования</t>
  </si>
  <si>
    <t>0709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</si>
  <si>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</si>
  <si>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0800</t>
  </si>
  <si>
    <t>Культура</t>
  </si>
  <si>
    <t>0801</t>
  </si>
  <si>
    <t>1000</t>
  </si>
  <si>
    <t>Пенсионное обеспечение</t>
  </si>
  <si>
    <t>1004</t>
  </si>
  <si>
    <t>Социальное обеспечение населения</t>
  </si>
  <si>
    <t>1003</t>
  </si>
  <si>
    <t>Другие вопросы в области национальной экономики</t>
  </si>
  <si>
    <t>Общегосударственные вопросы</t>
  </si>
  <si>
    <t>Другие общегосударственные вопросы</t>
  </si>
  <si>
    <t>03 0 00 00000</t>
  </si>
  <si>
    <t>03 1 00 00000</t>
  </si>
  <si>
    <t>Другие вопросы в области охраны окружающей среды</t>
  </si>
  <si>
    <t>Национальная оборона</t>
  </si>
  <si>
    <t>0200</t>
  </si>
  <si>
    <t>Мероприятия по обеспечению мобилизационной готовности экономики</t>
  </si>
  <si>
    <t>Транспорт</t>
  </si>
  <si>
    <t>0408</t>
  </si>
  <si>
    <t>0102</t>
  </si>
  <si>
    <t>Глава муниципального образования</t>
  </si>
  <si>
    <t>0111</t>
  </si>
  <si>
    <t>0204</t>
  </si>
  <si>
    <t>0412</t>
  </si>
  <si>
    <t>0505</t>
  </si>
  <si>
    <t>0605</t>
  </si>
  <si>
    <t>Доплаты к пенсиям, дополнильное пенсионное обеспечение</t>
  </si>
  <si>
    <t>1400</t>
  </si>
  <si>
    <t>1403</t>
  </si>
  <si>
    <t>к решению Совета депутатов</t>
  </si>
  <si>
    <t>Сергиево-Посадского</t>
  </si>
  <si>
    <t>муниципального района</t>
  </si>
  <si>
    <t>0706</t>
  </si>
  <si>
    <t>Расходы на организацию транспортного обслуживания населения автомобильным транспортом  в соответствии с муниципальными контрактами на оказание услуг по перевозке пассажиров</t>
  </si>
  <si>
    <t>Центральный аппарат (технические служащие)</t>
  </si>
  <si>
    <t>Центральный аппарат (муниципальные служащие)</t>
  </si>
  <si>
    <t>Коммунальное хозяйство</t>
  </si>
  <si>
    <t>0502</t>
  </si>
  <si>
    <t>540</t>
  </si>
  <si>
    <t>Подпрограмма "Дошкольное образование"</t>
  </si>
  <si>
    <t>Обеспечение деятельности телерадиокомпаний и телеорганизаций</t>
  </si>
  <si>
    <t>Обеспечение деятельности издательств</t>
  </si>
  <si>
    <t>Подпрограмма I "Развитие библиотечного дела"</t>
  </si>
  <si>
    <t>Подпрограмма V "Обеспечивающая подпрограмма"</t>
  </si>
  <si>
    <t>Мероприятия в сфере физической культуры и спорта</t>
  </si>
  <si>
    <t>Мероприятия в сфере культуры и кинематографии, в том числе комплектование книжных фондов</t>
  </si>
  <si>
    <t>Руководство и управление в сфере установленных функций органов государственной власти Московской области и органов местного самоуправления</t>
  </si>
  <si>
    <t>120</t>
  </si>
  <si>
    <t>Расходы на выплаты персоналу муниципальных органов</t>
  </si>
  <si>
    <t>200</t>
  </si>
  <si>
    <t>Закупка товаров, работ и услуг для муниципальных нужд</t>
  </si>
  <si>
    <t>240</t>
  </si>
  <si>
    <t>Иные закупки товаров, работ и услуг для обеспечения муниципальных нужд</t>
  </si>
  <si>
    <t>800</t>
  </si>
  <si>
    <t>Иные бюджетные ассигнования</t>
  </si>
  <si>
    <t>100</t>
  </si>
  <si>
    <t>09 0 00 00000</t>
  </si>
  <si>
    <t>09 2 00 00000</t>
  </si>
  <si>
    <t>11 0 00 00000</t>
  </si>
  <si>
    <t>11 0 00 17590</t>
  </si>
  <si>
    <t>11 0 00 88880</t>
  </si>
  <si>
    <t>10 0 00 00000</t>
  </si>
  <si>
    <t>20 0 00 00000</t>
  </si>
  <si>
    <t>20 0 00 88880</t>
  </si>
  <si>
    <t>22 0 00 00000</t>
  </si>
  <si>
    <t>22 0 00 88880</t>
  </si>
  <si>
    <t>07 0 00 00000</t>
  </si>
  <si>
    <t>12 1 00 00000</t>
  </si>
  <si>
    <t>12 1 00 88880</t>
  </si>
  <si>
    <t>Подпрограмма  "Обеспечение пожарной безопасности"</t>
  </si>
  <si>
    <t>19 0 00 00610</t>
  </si>
  <si>
    <t>19 0 00 00620</t>
  </si>
  <si>
    <t>Расходы на содержание муниципальной казны</t>
  </si>
  <si>
    <t>12 5 00 99590</t>
  </si>
  <si>
    <t>12 5 00 90690</t>
  </si>
  <si>
    <t>Организации библиотечного обслуживания и досуга в сельских поселениях</t>
  </si>
  <si>
    <t>19 0 00 99590</t>
  </si>
  <si>
    <t>Содержание мест захоронений</t>
  </si>
  <si>
    <t>08 1 00 88810</t>
  </si>
  <si>
    <t>12 2 00 00000</t>
  </si>
  <si>
    <t>08 3 00 00000</t>
  </si>
  <si>
    <t>08 3 00 88810</t>
  </si>
  <si>
    <t xml:space="preserve"> 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 видов  расходов классификации расходов бюджета</t>
  </si>
  <si>
    <t>в том числе за счет межбюджетных трансфертов</t>
  </si>
  <si>
    <t>0703</t>
  </si>
  <si>
    <t>Дополнительное образование детей</t>
  </si>
  <si>
    <t>Высшее образование</t>
  </si>
  <si>
    <t xml:space="preserve">Молодежная политика </t>
  </si>
  <si>
    <t>Проведение мероприятий, направленных на популяризацию роли предпринимательского сообщества</t>
  </si>
  <si>
    <t>11 0 00 88870</t>
  </si>
  <si>
    <t>Расходы на компенсацию затрат субъектам малого и среднего предпринимательства</t>
  </si>
  <si>
    <t>12 2 00 04000</t>
  </si>
  <si>
    <t>12 2 00 04990</t>
  </si>
  <si>
    <t>Исполнение судебных актов судебных органов</t>
  </si>
  <si>
    <t>Муниципальная программа  "Газификация сельских населенных пунктов  Сергиево-Посадского муниципального района Московской области"</t>
  </si>
  <si>
    <t>22 0 00 90590</t>
  </si>
  <si>
    <t>09 4 00 00000</t>
  </si>
  <si>
    <t>Софинансирование субсидии на реализацию подпрограммы "Улучшение жилищных условий семей, имеющих семь и более детей" государственной программы Московской области "Жилище"</t>
  </si>
  <si>
    <t>Подпрограмма "Профилактика преступлений и иных правонарушений"</t>
  </si>
  <si>
    <t>08 5 00 00000</t>
  </si>
  <si>
    <t>08 5 00 88810</t>
  </si>
  <si>
    <t>Расходы на обеспечение деятельности МКУ "ЕДДС-112"</t>
  </si>
  <si>
    <t>08 2 00 90590</t>
  </si>
  <si>
    <t>03 2 00 S2260</t>
  </si>
  <si>
    <t>03 2 00 S2270</t>
  </si>
  <si>
    <t>Софинансирование субсидии на мероприятия по организации отдыха детей в каникулярное время</t>
  </si>
  <si>
    <t>03 3 00 S2190</t>
  </si>
  <si>
    <t>07 0 00 88870</t>
  </si>
  <si>
    <t>Мероприятия по охране окружающей среды</t>
  </si>
  <si>
    <t>Обеспечение деятельности учреждений дополнительного образования детей сферы культуры</t>
  </si>
  <si>
    <t>08 4 00 88810</t>
  </si>
  <si>
    <t>02 1 00 88830</t>
  </si>
  <si>
    <t>25 1 00 77720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</si>
  <si>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</si>
  <si>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</si>
  <si>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04 0 00 88880</t>
  </si>
  <si>
    <t>Обеспечение и защита информационно-технологической и телекоммуникационной инфраструктуры</t>
  </si>
  <si>
    <t>04 0 00 00000</t>
  </si>
  <si>
    <t>Подпрограмма 3 "Развитие муниципальной службы муниципального образования "Сергиево-Посадский муниципальный район"</t>
  </si>
  <si>
    <t>Муниципальная  программа  "Развитие субъектов малого и среднего предпринимательства в Сергиево-Посадском муниципальном районе"</t>
  </si>
  <si>
    <t>Муниципальная программа  "Развитие потребительского рынка и услуг на территории Сергиево-Посадского муниципального района Московской области"</t>
  </si>
  <si>
    <t>Муниципальная программа  "Муниципальное управление"</t>
  </si>
  <si>
    <t>Муниципальная программа "Развитие образования в Сергиево-Посадском муниципальном районе"</t>
  </si>
  <si>
    <t>Муниципальная программа  "Доступная среда"</t>
  </si>
  <si>
    <t>09 4 00 S0220</t>
  </si>
  <si>
    <t>Субвенция на реализацию мер социальной поддержки и социального обеспечения детей-сирот и детей, оставшихся без попечения родителей,  лиц из их числа, лиц, потерявших в период обучения обоих родителей или единственного родителя, обучающихся по очной форме обучения в муниципальных и частных образовательных организациях высшего образования в Московской области</t>
  </si>
  <si>
    <t>Другие вопросы в области средств массовой информации</t>
  </si>
  <si>
    <t>1204</t>
  </si>
  <si>
    <t>Обеспечение земельными участками многодетных семей</t>
  </si>
  <si>
    <t>19 0 00 00630</t>
  </si>
  <si>
    <t>Субвенция на осуществление переданных полномочий Московской области по организации проведения мероприятий по отлову и содержанию безнадзорных животных</t>
  </si>
  <si>
    <t>Муниципальная  программа  "Создание условий для оказания медицинской помощи населению Сергиево-Посадского муниципального района"</t>
  </si>
  <si>
    <t xml:space="preserve">Проведение мероприятий по обеспечению занятости несовершеннолетних </t>
  </si>
  <si>
    <t>12 2 00 04970</t>
  </si>
  <si>
    <t>Расходы на обеспечение деятельности МУ ФОСКИ "Сплочение"</t>
  </si>
  <si>
    <t>Расходы на обеспечение деятельности МАУ "Ледовый спортивный комплекс "Сергиев Посад"</t>
  </si>
  <si>
    <t>Расходы на обеспечение деятельности  МБУ "Развитие"</t>
  </si>
  <si>
    <t>Расходы на обеспечение деятельности  МКУ "Специализированная служба по вопросам похоронного дела Сергиево-Посадского муниципального района"</t>
  </si>
  <si>
    <t>Расходы на обеспечение деятельности МУ "Хозяйственно-эксплуатационный центр"</t>
  </si>
  <si>
    <t>Расходы на обеспечение деятельности  МКУ "Центр муниципальных закупок"</t>
  </si>
  <si>
    <t>Расходы на обеспечение деятельности МБУ "Дорожник  Сергиево-Посадского муниципального района"</t>
  </si>
  <si>
    <t>Муниципальная программа  "Развитие 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 в Сергиево-Посадском муниципальном районе Московской области"</t>
  </si>
  <si>
    <t>Муниципальная программа  "Развитие образования в Сергиево-Посадском муниципальном районе Московской области"</t>
  </si>
  <si>
    <t>Муниципальная программа  "Безопасность Сергиево-Посадского муниципального района Московской области"</t>
  </si>
  <si>
    <t>Муниципальная  программа  "Развитие и функционирование дорожно-транспортного комплекса на территории  Сергиево-Посадского муниципального района Московской области"</t>
  </si>
  <si>
    <t>Муниципальная программа  "Развитие сельского хозяйства и регулирования рынков сельскохозяйственной продукции, сырья и продовольствия в Сергиево-Посадском муниципальном районе Московской области на 2015-2020 годы"</t>
  </si>
  <si>
    <t>Муниципальная программа  "Охрана окружающей среды в Сергиево-Посадском муниципальном районе Московской области"</t>
  </si>
  <si>
    <t>Муниципальная программа "Развитие образования в Сергиево-Посадском муниципальном районе Московской области"</t>
  </si>
  <si>
    <t>Муниципальная  программа  "Молодое поколение  Сергиево-Посадского муниципального района Московской области"</t>
  </si>
  <si>
    <t>Муниципальная программа "Развитие  культуры в  Сергиево-Посадском муниципальном районе Московской области"</t>
  </si>
  <si>
    <t>Муниципальная программа "Развитие физической культуры и спорта в Сергиево-Посадском муниципальном районе Московской области"</t>
  </si>
  <si>
    <t>Муниципальная программа "Развитие системы информирования населения о деятельности органов местного самоуправления Сергиево-Посадского муниципального района Московской области"</t>
  </si>
  <si>
    <t>Субвенция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</si>
  <si>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 xml:space="preserve">Субвенция на выплату компенсации 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    </t>
  </si>
  <si>
    <t>Субвенция на обеспечение государственных гарантий  реализации прав граждан на получение общедоступного и бесплатного дошкольного, начального общего, основного общего, среднего 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 за исключением расходов на содержание зданий и оплату коммунальных услуг)</t>
  </si>
  <si>
    <t>Субвенция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 дошкольных образовательных организациях 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</si>
  <si>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Субвенция на 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  </t>
  </si>
  <si>
    <t>Субвенция для осуществление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</t>
  </si>
  <si>
    <t>Субсидия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</si>
  <si>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Подпрограмма I "Развитие физической культуры и спорта"</t>
  </si>
  <si>
    <t>Подпрограмма I " Дошкольное образование"</t>
  </si>
  <si>
    <t>Подпрограмма II "Общее образование"</t>
  </si>
  <si>
    <t>Подпрограмма III "Дополнительное образование, воспитание и психолого-социальное сопровождение детей"</t>
  </si>
  <si>
    <t xml:space="preserve">Исполнение судебных актов и мировых соглашений по возмещению вреда, причиненного в результате незаконных действий(бездействия) органов местного самоуправления либо должностных лиц этих органов, а также в результате деятельности казенных учреждений </t>
  </si>
  <si>
    <t>Реализация мероприятий муниципальной программы развития субъектов малого и среднего предпринимательства по обеспечению деятельности коворкинг центра</t>
  </si>
  <si>
    <t>0501</t>
  </si>
  <si>
    <t>Жилищное хозяйство</t>
  </si>
  <si>
    <t>Расходы на обеспечение деятельности  МКУ "Фонд земельных ресурсов Сергиево-Посадского муниципального района"</t>
  </si>
  <si>
    <t>Софинансирование расходов на проведение капитального ремонта подъездов многоквартирных домов</t>
  </si>
  <si>
    <t>10 1 00 00000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</si>
  <si>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</si>
  <si>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Подпрограмма 2 "Обеспечение жильем молодых семей"</t>
  </si>
  <si>
    <t>Подпрограмма 6 "Улучшение жилищных условий семей, имеющих семь и более детей"</t>
  </si>
  <si>
    <t>09 6 00 S0190</t>
  </si>
  <si>
    <t>09 7 00 00000</t>
  </si>
  <si>
    <t>Подпрограмма 7 "Обеспечение жильем отдельных категорий граждан, установленных федеральным законодательством"</t>
  </si>
  <si>
    <t>09 3 00 00000</t>
  </si>
  <si>
    <t>Подпрограмма 4 "Социальная ипотека"</t>
  </si>
  <si>
    <t>05 1 02 00000</t>
  </si>
  <si>
    <t>Мероприятие "Мероприятия муниципальных учреждений в сфере физической культуры и спорта"</t>
  </si>
  <si>
    <t>05 1 02 77710</t>
  </si>
  <si>
    <t>05 1 11 77770</t>
  </si>
  <si>
    <t>05 1 12 77770</t>
  </si>
  <si>
    <t>05 1 13 77770</t>
  </si>
  <si>
    <t>Мероприятие "Субсидии муниципальным учреждениям физической культуры и спорта"</t>
  </si>
  <si>
    <t>05 1 10 00000</t>
  </si>
  <si>
    <t>12 5 00 05010</t>
  </si>
  <si>
    <t>Расходы на обеспечение деятельности Контрольно-счетной комиссии</t>
  </si>
  <si>
    <t>Подпрограмма 2 "Развитие архивного дела муниципального образования "Сергиево-Посадский муниципальный район Московской области"</t>
  </si>
  <si>
    <t>Подпрограмма 3 "Развитие муниципальной службы муниципального образования "Сергиево-Посадский муниципальный район Московской области"</t>
  </si>
  <si>
    <t>22 0 00 87780</t>
  </si>
  <si>
    <t>Подпрограмма III "Развитие дополнительного образования  сферы культуры"</t>
  </si>
  <si>
    <t>Подпрограмма "Пассажирский транспорт общего пользования на территории  Сергиево-Посадского муниципального района Московской области"</t>
  </si>
  <si>
    <t>14 1 00 00000</t>
  </si>
  <si>
    <t>14 1 00 88880</t>
  </si>
  <si>
    <t>14 1 00 88890</t>
  </si>
  <si>
    <t>14 2 00 00000</t>
  </si>
  <si>
    <t>14 2 00 89000</t>
  </si>
  <si>
    <t>14 2 00 S0240</t>
  </si>
  <si>
    <t>Расходы на обеспечение деятельности  учреждений физической культуры и спорта</t>
  </si>
  <si>
    <t>11 0 00 87880</t>
  </si>
  <si>
    <t>Капитальные вложения в объекты  государственной (муниципальной) собственности</t>
  </si>
  <si>
    <t>Субвенция для осуществление государственных полномочий  Московской области в области земельных отношений</t>
  </si>
  <si>
    <t>Реализация мероприятий по муниципальной программе  "Газификация сельских населенных пунктов  Сергиево-Посадского муниципального района Московской области"</t>
  </si>
  <si>
    <t>13 0 00 88870</t>
  </si>
  <si>
    <t>Софинансирование субсидии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</si>
  <si>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09 6 00 00000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</si>
  <si>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</si>
  <si>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110</t>
  </si>
  <si>
    <t>Расходы на выплаты персоналу казенных учреждений</t>
  </si>
  <si>
    <t>850</t>
  </si>
  <si>
    <t>Уплата налогов, сборов и иных платежей</t>
  </si>
  <si>
    <t>610</t>
  </si>
  <si>
    <t xml:space="preserve">Субсидии бюджетным учреждениям </t>
  </si>
  <si>
    <t>600</t>
  </si>
  <si>
    <t>Предоставление субсидий бюджетным, автономным учреждениям и иным некоммерческим организациям</t>
  </si>
  <si>
    <t>Расходы на обеспечение деятельности (оказание услуг) казенных учреждений</t>
  </si>
  <si>
    <t>620</t>
  </si>
  <si>
    <t xml:space="preserve">Субсидии автономным учреждениям </t>
  </si>
  <si>
    <t>830</t>
  </si>
  <si>
    <t>Исполнение судебных актов</t>
  </si>
  <si>
    <t>Подпрограмма I "Создание условий для реализации молодежной политики на территории Сергиево-Посадского муниципального района"</t>
  </si>
  <si>
    <t>Организация и проведение мероприятий для детей и молодежи</t>
  </si>
  <si>
    <t>300</t>
  </si>
  <si>
    <t>14 0 00 00000</t>
  </si>
  <si>
    <t>13 0 00 00000</t>
  </si>
  <si>
    <t>13 0 00 88880</t>
  </si>
  <si>
    <t>03 1 00 77770</t>
  </si>
  <si>
    <t>03 1 00 88810</t>
  </si>
  <si>
    <t>03 1 00 88820</t>
  </si>
  <si>
    <t>03 2 00 77730</t>
  </si>
  <si>
    <t>03 2 00 77770</t>
  </si>
  <si>
    <t>03 2 00 88810</t>
  </si>
  <si>
    <t>03 2 00 88820</t>
  </si>
  <si>
    <t>03 3 00 00000</t>
  </si>
  <si>
    <t>03 3 00 77770</t>
  </si>
  <si>
    <t>03 3 00 88810</t>
  </si>
  <si>
    <t>03 3 00 88820</t>
  </si>
  <si>
    <t>02 0 00 00000</t>
  </si>
  <si>
    <t>02 3 00 00000</t>
  </si>
  <si>
    <t>02 3 00 77770</t>
  </si>
  <si>
    <t>02 3 00 77710</t>
  </si>
  <si>
    <t>05 0 00 00000</t>
  </si>
  <si>
    <t>23 0 00 00000</t>
  </si>
  <si>
    <t>23 0 00 88880</t>
  </si>
  <si>
    <t>25 0 00 00000</t>
  </si>
  <si>
    <t>25 1 00 00000</t>
  </si>
  <si>
    <t>25 1 00 77770</t>
  </si>
  <si>
    <t>25 1 00 77710</t>
  </si>
  <si>
    <t>03 4 00 00000</t>
  </si>
  <si>
    <t>03 4 00 04000</t>
  </si>
  <si>
    <t>03 4 00 04970</t>
  </si>
  <si>
    <t>03 4 00 04980</t>
  </si>
  <si>
    <t>03 4 00 04990</t>
  </si>
  <si>
    <t>03 4 00 77590</t>
  </si>
  <si>
    <t>03 4 00 77770</t>
  </si>
  <si>
    <t>03 4 00 88810</t>
  </si>
  <si>
    <t>02 1 00 00000</t>
  </si>
  <si>
    <t>02 1 00 77770</t>
  </si>
  <si>
    <t>02 2 00 00000</t>
  </si>
  <si>
    <t>02 2 00 77770</t>
  </si>
  <si>
    <t>02 2 00 77710</t>
  </si>
  <si>
    <t>02 5 00 00000</t>
  </si>
  <si>
    <t>02 5 00 77590</t>
  </si>
  <si>
    <t>01 0 00 00000</t>
  </si>
  <si>
    <t>01 0 00 88880</t>
  </si>
  <si>
    <t>05 1 00 00000</t>
  </si>
  <si>
    <t xml:space="preserve">Социальное обеспечение и иные выплаты населению </t>
  </si>
  <si>
    <t>400</t>
  </si>
  <si>
    <t xml:space="preserve">Бюджетные инвестиции </t>
  </si>
  <si>
    <t>Укрепление материально-технической базы учреждений</t>
  </si>
  <si>
    <t>310</t>
  </si>
  <si>
    <t>Публичные нормативные социальные выплаты гражданам</t>
  </si>
  <si>
    <t>410</t>
  </si>
  <si>
    <t>Мероприятия в сфере образования</t>
  </si>
  <si>
    <t>Подпрограмма II "Развитие общего образования"</t>
  </si>
  <si>
    <t>Совершенствование организации питания обучающихся в муниципальных учреждениях</t>
  </si>
  <si>
    <t>Обеспечение деятельности бюджетных  подведомственных учреждений</t>
  </si>
  <si>
    <t>700</t>
  </si>
  <si>
    <t>500</t>
  </si>
  <si>
    <t xml:space="preserve">Межбюджетные трансферты </t>
  </si>
  <si>
    <t>Расходы на содержание учреждений по внешкольной работе с детьми</t>
  </si>
  <si>
    <t>Обеспечение деятельности библиотек</t>
  </si>
  <si>
    <t>Обеспечение деятельности учреждений культуры</t>
  </si>
  <si>
    <t>Мероприятия в сфере культуры и кинематографии</t>
  </si>
  <si>
    <t xml:space="preserve">Межбюджетные трансферты общего характера бюджетам бюджетной системы  Российской Федерации </t>
  </si>
  <si>
    <t>Субвенция на финансовое обеспечение  получения гражданами  дошкольного, начального общего, основного общего, среднего  общего образования в частных общеобразовательных 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</si>
  <si>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Субвенция на организацию предоставления гражданам РФ, имеющим место жительства в Московской области, субсидий на оплату жилого помещения и коммунальных услуг        </t>
  </si>
  <si>
    <t xml:space="preserve">Субвенция на обеспечение предоставления гражданам субсидий на оплату жилого помещения и коммунальных услуг   </t>
  </si>
  <si>
    <t>Субвенция на оплату расходов, связанных с компенсацией проезда к месту учебы и обратно отдельным категориям обучающихся по очной форме обучения  муниципальных общеобразовательных организаций в Московской области</t>
  </si>
  <si>
    <t>12 5 00 90590</t>
  </si>
  <si>
    <t>12 5 00 01030</t>
  </si>
  <si>
    <t>08 0 00 00000</t>
  </si>
  <si>
    <t xml:space="preserve">08 1 00 00000 </t>
  </si>
  <si>
    <t>08 2 00 00000</t>
  </si>
  <si>
    <t>08 4 00 00000</t>
  </si>
  <si>
    <t xml:space="preserve">Субвенция на реализацию мер  социальной поддержки и социального обеспечения  детей 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    </t>
  </si>
  <si>
    <t>12 5 00 90000</t>
  </si>
  <si>
    <t>Мероприятия подпрограммы "Снижение рисков и смягчение последствий чрезвычайных ситуаций природного и техногенного характера"</t>
  </si>
  <si>
    <t>08 2 00 88810</t>
  </si>
  <si>
    <t>Размещение социальной рекламы</t>
  </si>
  <si>
    <t>13 0 00 88780</t>
  </si>
  <si>
    <t>03 2 00 60680</t>
  </si>
  <si>
    <t>12 2 00 60690</t>
  </si>
  <si>
    <t>12 5 00 60700</t>
  </si>
  <si>
    <t>12 5 00 60830</t>
  </si>
  <si>
    <t>03 1 00 62110</t>
  </si>
  <si>
    <t>03 2 00 62200</t>
  </si>
  <si>
    <t>03 2 00 62220</t>
  </si>
  <si>
    <t>03 2 00 62210</t>
  </si>
  <si>
    <t>03 2 00 62230</t>
  </si>
  <si>
    <t>03 2 00 62240</t>
  </si>
  <si>
    <t>03 2 00 62060</t>
  </si>
  <si>
    <t>03 1 00 62140</t>
  </si>
  <si>
    <t>01 0 00 62080</t>
  </si>
  <si>
    <t>09 3 00 60820</t>
  </si>
  <si>
    <t xml:space="preserve">Софинансирование субсидии на приобретение автобусов для доставки обучающихся в общеобразовательные организации в Московской области, расположенные в сельских населенных пунктах </t>
  </si>
  <si>
    <t>Мероприятия муниципальной программы  "Доступная среда"</t>
  </si>
  <si>
    <t>Субсидия на 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</si>
  <si>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>Субсидия на мероприятия по организации отдыха детей в каникулярное время</t>
  </si>
  <si>
    <t xml:space="preserve">Субсидия на капитальный ремонт, приобретение, монтаж и ввод в эксплуатацию объектов водоснабжения </t>
  </si>
  <si>
    <t>Субсидия на строительство и реконструкцию объектов коммунальной инфраструктуры</t>
  </si>
  <si>
    <t>06 0 00 60870</t>
  </si>
  <si>
    <t xml:space="preserve">Руководитель контрольно-счетной комиссии муниципального образования </t>
  </si>
  <si>
    <t>Субвенция на создание административных комиссий, уполномоченных рассматривать дела об административных правонарушениях в сфере благоустройства</t>
  </si>
  <si>
    <t>18 0 00 00000</t>
  </si>
  <si>
    <t>Софинансирование субсидии на строительство и реконструкцию объектов коммунальной инфраструктуры</t>
  </si>
  <si>
    <t xml:space="preserve">Софинансирование субсидии на капитальный ремонт, приобретение, монтаж и ввод в эксплуатацию объектов водоснабжения </t>
  </si>
  <si>
    <t>Муниципальная программа  "Развитие инженерной инфраструктуры и энергоэффективности Сергиево-Посадского муниципального района Московской области"</t>
  </si>
  <si>
    <t>Подпрограмма I "Чистая вода"</t>
  </si>
  <si>
    <t>Подпрограмма III "Создание условий для обеспечения качественными жилишно-коммунальными услугами"</t>
  </si>
  <si>
    <t>10 3 00 00000</t>
  </si>
  <si>
    <t>Подпрограмма IV "Энергосбережение и повышение энергетической эффективности "</t>
  </si>
  <si>
    <t>10 3 00 S4080</t>
  </si>
  <si>
    <t>10 4 00 00000</t>
  </si>
  <si>
    <t>10 4 00 88780</t>
  </si>
  <si>
    <t>10 3 00 61420</t>
  </si>
  <si>
    <t>10 3 00 61410</t>
  </si>
  <si>
    <t>26 0 00 00000</t>
  </si>
  <si>
    <t>Муниципальная  программа "Создание условий для устойчивого экономического роста в Сергиево-Посадском муниципальном районе Московской области"</t>
  </si>
  <si>
    <t>Субсидия на ремонт подъездов многоквартирных домов</t>
  </si>
  <si>
    <t>Повышение квалификации работников</t>
  </si>
  <si>
    <t>12 5 00 04880</t>
  </si>
  <si>
    <t>10 3 00 88950</t>
  </si>
  <si>
    <t>Подпрограмма "Создание условий для обеспечения комфортного проживания жителей в многоквартирных домах Сергиево-Посадского муниципального района Московской области"</t>
  </si>
  <si>
    <t>18 3 00 00000</t>
  </si>
  <si>
    <t>18 3 00 S0950</t>
  </si>
  <si>
    <t>Подпрограмма "Развитие и функционирование улично-дорожной сети автомобильных дорог Сергиево-Посадского муниципального района Московской области"</t>
  </si>
  <si>
    <t>Подпрограмма "Комфортная городская среда"</t>
  </si>
  <si>
    <t>18 1 00 00000</t>
  </si>
  <si>
    <t>18 1 00 62670</t>
  </si>
  <si>
    <t>11 0 00 88860</t>
  </si>
  <si>
    <t>Предоставление субсидии Союзу "Торгово-промышленная палата Сергиево-Посадского района"</t>
  </si>
  <si>
    <t>26 0 00 88880</t>
  </si>
  <si>
    <t>840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</si>
  <si>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прнципалу</t>
  </si>
  <si>
    <t>Расходы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</si>
  <si>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03 2 00 82270</t>
  </si>
  <si>
    <t>Муниципальная программа  "Формирование современной комфортной городской среды"</t>
  </si>
  <si>
    <t>23 0 00 S2640</t>
  </si>
  <si>
    <t>09 2 00 L4970</t>
  </si>
  <si>
    <t>Расходы на обеспечение деятельности МКУ "Единый центр поддержки предпринимательства"</t>
  </si>
  <si>
    <t>Мероприятия муниципальной программы  "Развитие сельского хозяйства и регулирования рынков сельскохозяйственной продукции, сырья и продовольствия в Сергиево-Посадском муниципальном районе Московской области на 2015-2020 годы"</t>
  </si>
  <si>
    <t xml:space="preserve">Субвенция на  предоставление жилых помещений детям-сиротам и 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      </t>
  </si>
  <si>
    <t>Подпрограмма "Повышение инвестиционной привлекательности Сергиево-Посадского муниципального района"</t>
  </si>
  <si>
    <t>Другие вопросы в области национальной безопасности и правоохранительной деятельности</t>
  </si>
  <si>
    <t>0314</t>
  </si>
  <si>
    <t>06 0 00 L5670</t>
  </si>
  <si>
    <t>Приложение № 4</t>
  </si>
  <si>
    <t>Софинансирование субсидии на компенсацию оплаты основного долга  по ипотечному жилищному кредиту</t>
  </si>
  <si>
    <t>03 1 00 88850</t>
  </si>
  <si>
    <t>Прочие расходы на обеспечение деятельности подведомственных учреждений</t>
  </si>
  <si>
    <t>Мероприятия муниципальной программы "Развитие сельского хозяйства и регулирования рынков сельскохозяйственной продукции, сырья и продовольствия в Сергиево-Посадском муниципальном районе Московской области на 2015-2020 годы"</t>
  </si>
  <si>
    <t>Подпрограмма  "Развитие и совершенствование систем оповещения и информирования населения"</t>
  </si>
  <si>
    <t>Мероприятия подпрограммы  "Развитие и совершенствование систем оповещения и информирования населения"</t>
  </si>
  <si>
    <t>Мероприятия подпрограммы  "Обеспечение мероприятий гражданской обороны"</t>
  </si>
  <si>
    <t>Мероприятия подпрограммы "Профилактика преступлений и иных правонарушений"</t>
  </si>
  <si>
    <t>Мероприятия подпрограммы  "Обеспечение пожарной безопасности"</t>
  </si>
  <si>
    <t>Мероприятия подпрограммы 3 "Развитие муниципальной службы муниципального образования "Сергиево-Посадский муниципальный район Московской области"</t>
  </si>
  <si>
    <t>09 7 00 51760</t>
  </si>
  <si>
    <t>Реализация мероприятий по обеспечению жильем молодых семей</t>
  </si>
  <si>
    <t>Софинансирование субсидии на капитальные вложения в объекты общего образования</t>
  </si>
  <si>
    <t>Проведение мероприятий, направленных на популяризацию сферы культуры</t>
  </si>
  <si>
    <t>02 2 00 88810</t>
  </si>
  <si>
    <t>Субсидия в капитальные вложения в объекты общего образования</t>
  </si>
  <si>
    <t>Обеспечение деятельности  МБУ "Многофункциональный центр предоставления государственных и муниципальных услуг Сергиево-Посадского муниципального района"</t>
  </si>
  <si>
    <t>Мероприятия по содержанию муниципального индустриального парка</t>
  </si>
  <si>
    <t xml:space="preserve"> Сергиево-Посадского муниципального района на 2019 год</t>
  </si>
  <si>
    <t>02 1 00 88100</t>
  </si>
  <si>
    <t>Софинансирование субсидии  на мероприятия по приобретению музыкальных инструментов для оснащения муниципальных учреждений дополнительного образования сферы культуры</t>
  </si>
  <si>
    <t>0405</t>
  </si>
  <si>
    <t>Сельское хозяйство и рыболовство</t>
  </si>
  <si>
    <t>09 7 00 51340</t>
  </si>
  <si>
    <t>Субвенции бюджетам муниципальных образований Московской области на осуществление полномочий по обеспечению жильём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жильём ветеранов Великой Отечественной войны 1941-1945 годов»</t>
  </si>
  <si>
    <t>26 0 00 S4420</t>
  </si>
  <si>
    <t>Мероприятие "Создание и развитие индустриальных парков, промышленных площадок"</t>
  </si>
  <si>
    <t>Субсидия на 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</si>
  <si>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Софинансирование на 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</si>
  <si>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03 2 00 88850</t>
  </si>
  <si>
    <t>Расходы на мероприятия по организации отдыха детей в каникулярное время</t>
  </si>
  <si>
    <t>03 3 00 82190</t>
  </si>
  <si>
    <t>Софинансирование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создание доступной среды в муниципальных учреждениях физической культуры и спорта и в муниципальных учреждениях дополнительного образования сферы спорта, в государственных учреждениях спорта</t>
  </si>
  <si>
    <t>Субсидия на реализацию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создание доступной среды в муниципальных учреждениях физической культуры и спорта и в муниципальных учреждениях дополнительного образования сферы спорта, в государственных учреждениях спорта</t>
  </si>
  <si>
    <t>Субсидия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</si>
  <si>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23 0 00 S1560</t>
  </si>
  <si>
    <t>Софинансирование расходов по строительству подъездных путей к муниципальному индустриальному парку "М-8"</t>
  </si>
  <si>
    <t>Установка индивидуальных приборов учета энергетических ресурсов в муниципальном жилищном фонде</t>
  </si>
  <si>
    <t>05 1 12 77710</t>
  </si>
  <si>
    <t>Подпрограмма 3  «Обеспечение жильем детей - сирот и детей, оставшихся без попечения родителей, лиц из числа детей - сирот и детей, оставшихся без попечения родителей»</t>
  </si>
  <si>
    <t>от  ___________ № ___________</t>
  </si>
  <si>
    <t>12 5 00 00601</t>
  </si>
  <si>
    <t>Субсидия на мероприятия по приобретению музыкальных инструментов для оснащения муниципальных учреждений дополнительного образования, осуществляющих деятельность в сфере культуры</t>
  </si>
  <si>
    <t>от  11.12.2018  № 46/02-МЗ</t>
  </si>
  <si>
    <t>Связь и информатика</t>
  </si>
  <si>
    <t>0410</t>
  </si>
  <si>
    <t>Субсидия на предоставление доступа к электронным сервисам цифровой инфраструктуры в сфере жилищно-коммунального хозяйства</t>
  </si>
  <si>
    <t>Субсидия иным некоммерческим организациям, не являющимся государственными (муниципальными) учреждениями, государственными корпорациями (компаниями) и публично-правовыми компаниями.</t>
  </si>
  <si>
    <t>Софинансирование расходов  на предоставление доступа к электронным сервисам цифровой инфраструктуры в сфере жилищно-коммунального хозяйства</t>
  </si>
  <si>
    <t>Иные межбюджетные трансферты на создание центров образования цифрового и гуманитарного профилей</t>
  </si>
  <si>
    <t>Расходы на обеспечение деятельности  МКУ "Специализированная служба по вопросам похоронного дела Сергиево-Посадского муниципального района" за счет иных межбюджетных трансфертов из бюджетов поселений</t>
  </si>
  <si>
    <t>22 0 00 06000</t>
  </si>
  <si>
    <t>22 0 00 06004</t>
  </si>
  <si>
    <t>Иные межбюджетные трансферты Сергиево-Посадскому муниципальному району для организации ритуальных услуг и содержания мест захоронений в границах населенных пунктов городского поселения из бюджета городского поселения Сергиев Посад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</si>
  <si>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бюджетов поселений</t>
  </si>
  <si>
    <t>12 5 00 07700</t>
  </si>
  <si>
    <t>12 5 00 07704</t>
  </si>
  <si>
    <t>Иные межбюджетные трансферты Сергиево-Посадскому муниципальному району по осуществлению внешнего муниципального финансового контроля Контрольно-счетной комиссией Сергиево-Посадского муниципального района из бюджета городского  поселения Сергиев Посад</t>
  </si>
  <si>
    <t>Иные межбюджетные трансферты Сергиево-Посадскому муниципальному району в рамках создания условий для развития малого и среднего предпринимательства на территории городского поселения Сергиев Посад на цели субсидирования субъектов малого и среднего предпринимательства из бюджета городского поселения Сергиев Посад</t>
  </si>
  <si>
    <t>11 0 00 08664</t>
  </si>
  <si>
    <t>11 0 00 07774</t>
  </si>
  <si>
    <t>Иные межбюджетные трансферты Сергиево-Посадскому муниципальному району для обеспечения жителей городского поселения Сергиев Посад услугами торговли и бытового обслуживания из бюджета городского поселения Сергиев Посад</t>
  </si>
  <si>
    <t>11 0 00 08774</t>
  </si>
  <si>
    <t xml:space="preserve">Иные межбюджетные трансферты Сергиево-Посадскому муниципальному району в рамках организации благоустройства территории  городского поселения Сергиев Посад (в части средств размещения информации) из бюджета городского поселения Сергиев Посад </t>
  </si>
  <si>
    <t>Расходы на обеспечение деятельности  МКУ "Центр муниципальных закупок" за счет иных межбюджетных трансфертов из бюджетов поселений</t>
  </si>
  <si>
    <t>12 5 00 09000</t>
  </si>
  <si>
    <t>Передача иного межбюджетного трансферта Сергиево-Посадскому муниципальному району в рамках организации осуществления закупок товаров, работ, услуг для нужд  городского  поселения Сергиев Посад</t>
  </si>
  <si>
    <t>12 5 00 09004</t>
  </si>
  <si>
    <t>Иные межбюджетные трансферты Сергиево-Посадскому муниципальному району в рамках осуществления дорожной деятельности по капитальному ремонту и ремонту автомобильных дорог общего пользования городского поселения Сергиев Посад  из бюджета городского поселения Сергиев Посад</t>
  </si>
  <si>
    <t>14 2 01 08004</t>
  </si>
  <si>
    <t>Иные межбюджетные трансферты Сергиево-Посадскому муниципальному району в рамках осуществления дорожной деятельности из бюджета городского поселения Сергиев Посад</t>
  </si>
  <si>
    <t>14 2 03 08004</t>
  </si>
  <si>
    <t>Иные межбюджетные трансферты Сергиево-Посадскому муниципальному району в рамках осуществления дорожной деятельности на реализацию мероприятий государственной программы Московской области по капитальному ремонту и ремонту автомобильных дорог общего пользования городского поселения Сергиев Посад из бюджета городского поселения Сергиев Посад</t>
  </si>
  <si>
    <t>14 2 01 S0240</t>
  </si>
  <si>
    <t>18 1 06 08004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</si>
  <si>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городского  поселения Скоропусковский</t>
  </si>
  <si>
    <t>12 5 00 07705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</si>
  <si>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городского  поселения Хотьково</t>
  </si>
  <si>
    <t>12 5 00 07706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</si>
  <si>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сельского  поселения Березняковское</t>
  </si>
  <si>
    <t>12 5 00 07707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</si>
  <si>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сельского  поселения Васильевское</t>
  </si>
  <si>
    <t>12 5 00 07708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</si>
  <si>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сельского  поселения Лозовское</t>
  </si>
  <si>
    <t>12 5 00 07709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</si>
  <si>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сельского  поселения Реммаш</t>
  </si>
  <si>
    <t>12 5 00 07710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</si>
  <si>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сельского  поселения Селковское</t>
  </si>
  <si>
    <t>12 5 00 07711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</si>
  <si>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сельского  поселения Шеметовское</t>
  </si>
  <si>
    <t>12 5 00 07712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</si>
  <si>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городского  поселения Пересвет</t>
  </si>
  <si>
    <t>12 5 00 07703</t>
  </si>
  <si>
    <t>Субсидия на 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</si>
  <si>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Софинансирование субсидии на 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</si>
  <si>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03 1 D2 S0600</t>
  </si>
  <si>
    <t>Иные межбюджетные трансферты Сергиево-Посадскому муниципальному району на исполнение переданных полномочий по осуществлению дорожной деятельности из бюджета городского поселения Хотьково</t>
  </si>
  <si>
    <t>14 2 00 08006</t>
  </si>
  <si>
    <t>04 0 D6 S0940</t>
  </si>
  <si>
    <t>Субсидия на софинансирование работ по капитальному ремонту и ремонту автомобильных дорог общего пользования местного значения</t>
  </si>
  <si>
    <t>Софинансирование работ по капитальному ремонту и ремонту автомобильных дорог общего пользования местного значения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</si>
  <si>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бюджета городского  поселения Хотьково</t>
  </si>
  <si>
    <t>12 5 00 09006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</si>
  <si>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бюджета сельского  поселения Березняковское</t>
  </si>
  <si>
    <t>12 5 00 09007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</si>
  <si>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бюджета сельского  поселения Реммаш</t>
  </si>
  <si>
    <t>12 5 00 09010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</si>
  <si>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бюджета сельского  поселения Селковское</t>
  </si>
  <si>
    <t>12 5 00 09011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</si>
  <si>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бюджета сельского  поселения Шеметовское</t>
  </si>
  <si>
    <t>12 5 00 09012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</si>
  <si>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бюджета городского  поселения Пересвет</t>
  </si>
  <si>
    <t>12 5 00 09003</t>
  </si>
  <si>
    <t>12 5 00 09008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</si>
  <si>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бюджета сельского  поселения Васильевское</t>
  </si>
  <si>
    <t>Осуществление полномочий (части полномочий) в сфере осуществления закупок товаров, работ и услуг за счет иных межбюджетных трансфертов из бюджетов поселений</t>
  </si>
  <si>
    <t>Осуществление полномочий (части полномочий) по составлению проектов бюджетов поселений, кассовому обслуживанию исполнения бюджетов поселений, составлению отчета о кассовом исполнении бюджетов поселений  за счет иных межбюджетных трансфертов из бюджетов поселений</t>
  </si>
  <si>
    <t>12 5 00 07000</t>
  </si>
  <si>
    <t>Осуществление полномочий (части полномочий) по составлению проекта бюджета поселения, кассовому обслуживанию исполнения бюджета поселения, составлению отчета о кассовом исполнении бюджета поселения  за счет иных межбюджетных трансфертов из бюджета городского поселения Скоропусковский</t>
  </si>
  <si>
    <t>12 5 00 07005</t>
  </si>
  <si>
    <t>Осуществление полномочий (части полномочий) по составлению проекта бюджета поселения, кассовому обслуживанию исполнения бюджета поселения, составлению отчета о кассовом исполнении бюджета поселения  за счет иных межбюджетных трансфертов из бюджета сельского поселения Васильевское</t>
  </si>
  <si>
    <t>12 5 00 07008</t>
  </si>
  <si>
    <t>Осуществление полномочий (части полномочий) по составлению проекта бюджета поселения, кассовому обслуживанию исполнения бюджета поселения, составлению отчета о кассовом исполнении бюджета поселения  за счет иных межбюджетных трансфертов из бюджета сельского поселения Реммаш</t>
  </si>
  <si>
    <t>12 5 00 07010</t>
  </si>
  <si>
    <t>Осуществление полномочий (части полномочий) по составлению проекта бюджета поселения, кассовому обслуживанию исполнения бюджета поселения, составлению отчета о кассовом исполнении бюджета поселения  за счет иных межбюджетных трансфертов из бюджета сельского поселения Селковское</t>
  </si>
  <si>
    <t>12 5 00 07011</t>
  </si>
  <si>
    <t>Осуществление полномочий (части полномочий) по составлению проекта бюджета поселения, кассовому обслуживанию исполнения бюджета поселения, составлению отчета о кассовом исполнении бюджета поселения  за счет иных межбюджетных трансфертов из бюджета сельского поселения Шеметовское</t>
  </si>
  <si>
    <t>12 5 00 07012</t>
  </si>
  <si>
    <t>Осуществление полномочий (части полномочий) по предоставлению муниципальной услуги  "Выдача ордера на право производства земляных работ" за счет иных межбюджетных трансфертов из бюджетов поселений</t>
  </si>
  <si>
    <t>Осуществление полномочий (части полномочий) по предоставлению муниципальной услуги  "Выдача ордера на право производства земляных работ" за счет иных межбюджетных трансфертов из бюджета сельского поселения Васильевское</t>
  </si>
  <si>
    <t>Осуществление полномочий (части полномочий) по предоставлению муниципальной услуги  "Выдача ордера на право производства земляных работ" за счет иных межбюджетных трансфертов из бюджета сельского поселения Березняковское</t>
  </si>
  <si>
    <t>Осуществление полномочий (части полномочий) по предоставлению муниципальной услуги  "Выдача ордера на право производства земляных работ" за счет иных межбюджетных трансфертов из бюджета городского поселения Скоропусковский</t>
  </si>
  <si>
    <t>Осуществление полномочий (части полномочий) по предоставлению муниципальной услуги  "Выдача ордера на право производства земляных работ" за счет иных межбюджетных трансфертов из бюджета городского поселения Пересвет</t>
  </si>
  <si>
    <t>Расходы на 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</si>
  <si>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Иные межбюджетные трансферты Сергиево-Посадскому муниципальному району на исполнение переданных полномочий по организации в границах поселения тепло-водоснабжения населения, водоотведения из бюджета городского поселения Хотьково</t>
  </si>
  <si>
    <t>Субвенция бюджетам муниципальных образований Московской области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</si>
  <si>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Осуществление полномочий (части полномочий) по предоставлению муниципальной услуги  "Выдача ордера на право производства земляных работ" за счет иных межбюджетных трансфертов из бюджета сельского поселения Селковское</t>
  </si>
  <si>
    <t>Субсидия на капитальные вложения в общеобразовательные организации в целях обеспечения односменного режима обучения (Школа на 1100 мест)</t>
  </si>
  <si>
    <t>Субсидия на капитальные вложения в общеобразовательные организации в целях обеспечения односменного режима обучения (Школа на 550 мест)</t>
  </si>
  <si>
    <t>Софинансирование субсидии на капитальные вложения в общеобразовательные организации в целях обеспечения односменного режима обучения (Школа на 550 мест)</t>
  </si>
  <si>
    <t>Софинансирование субсидии на капитальные вложения в общеобразовательные организации в целях обеспечения односменного режима обучения (Школа на 1100 мест)</t>
  </si>
  <si>
    <t>Исполнение судебных актов и мировых соглашений по возмещению вреда, причиненного в результате незаконных действий(бездействия) органов местного самоуправления либо должностных лиц этих органов, а также в результате деятельности казенных учреждений по земельным отношениям</t>
  </si>
  <si>
    <t>12 5 00 00602</t>
  </si>
  <si>
    <t>Иные межбюджетные трансферты на дополнительные мероприятия по развитию жилищно-коммунального хозяйства и социально-культурной сферы</t>
  </si>
  <si>
    <t>05 1 02 04400</t>
  </si>
  <si>
    <t>05 1 13 04400</t>
  </si>
  <si>
    <t>Массовый спорт</t>
  </si>
  <si>
    <t>1102</t>
  </si>
  <si>
    <t>Подпрограмма II "Проектирование, строительство, реконструкция и капитальный ремонт объектов спорта"</t>
  </si>
  <si>
    <t>05 2 00 00000</t>
  </si>
  <si>
    <t>Софинансирование субсидии на подготовку основания, приобретение и установку плоскостных спортивных сооружений в муниципальных образованиях Московской области</t>
  </si>
  <si>
    <t>Строительство и реконструкция объектов водоснабжения</t>
  </si>
  <si>
    <t>10 1 00 88880</t>
  </si>
  <si>
    <t>07 0 00 88880</t>
  </si>
  <si>
    <t>Реализация мероприятий по ликвидации несанкционированных свалок и навалов мусора</t>
  </si>
  <si>
    <t>Участие в мероприятиях по пропаганде экологически безопасного обращения с отходами</t>
  </si>
  <si>
    <t>07 0 00 88860</t>
  </si>
  <si>
    <t>Иные межбюджетные трансферты Сергиево-Посадскому муниципальному району в рамках осуществления дорожной деятельности на реализацию мероприятий государственной программы Московской области по капитальному ремонту и ремонту автомобильных дорог общего пользования городского поселения за счет средств бюджета Московской области из бюджета городского поселения Сергиев Посад</t>
  </si>
  <si>
    <t xml:space="preserve">Предоставление субсидий бюджетным, автономным учреждениям и иным некоммерческим организациям </t>
  </si>
  <si>
    <t>Иные межбюджетные трансферты Сергиево-Посадскому муниципальному району в рамках осуществления дорожной деятельности на реализацию мероприятий государственной программы Московской области  по софинансированию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 за счет средств бюджета Московской области из бюджета городского поселения Сергиев Посад</t>
  </si>
  <si>
    <t>14 2 01 S0250</t>
  </si>
  <si>
    <t>Иные межбюджетные трансферты Сергиево-Посадскому муниципальному району в рамках осуществления дорожной деятельности на реализацию мероприятий государственной программы Московской области  по софинансированию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 из бюджета городского поселения Сергиев Посад</t>
  </si>
  <si>
    <t>Иные межбюджетные трансферты Сергиево-Посадскому муниципальному району в рамках осуществления дорожной деятельности по ремонту асфальтового покрытия дворовых территорий многоквартирных домов городского поселения Сергиев Посад и проездов к ним из бюджета городского поселения Сергиев Посад</t>
  </si>
  <si>
    <t>Иные межбюджетные трансферты Сергиево-Посадскому муниципальному району в рамках осуществления дорожной деятельности по реализации программ формирования современной городской среды в части ремонта дворовых территорий из бюджета городского поселения Сергиев Посад</t>
  </si>
  <si>
    <t>Субвенция 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</si>
  <si>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12 5 00 60710</t>
  </si>
  <si>
    <t>Субсидия на ликвидацию несанкционированных свалок и навалов мусора</t>
  </si>
  <si>
    <t>18 1 00 60960</t>
  </si>
  <si>
    <t>03 3 00 04400</t>
  </si>
  <si>
    <t>03 2 00 04400</t>
  </si>
  <si>
    <t>03 1 00 04400</t>
  </si>
  <si>
    <t>03 2 E1 51870</t>
  </si>
  <si>
    <t>03 2 E1 51690</t>
  </si>
  <si>
    <t>Софинансирование субсидии на закупку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</si>
  <si>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03 1 00 S2130</t>
  </si>
  <si>
    <t>Софинансирование расходов на создание центров образования цифрового и гуманитарного профилей</t>
  </si>
  <si>
    <t xml:space="preserve">Поддержка образования для детей с ограниченными возможностями здоровья 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</si>
  <si>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</si>
  <si>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>12 5 00 10016</t>
  </si>
  <si>
    <t>12 5 00 09803</t>
  </si>
  <si>
    <t>12 5 00 09805</t>
  </si>
  <si>
    <t>12 5 00 09808</t>
  </si>
  <si>
    <t>12 5 00 09088</t>
  </si>
  <si>
    <t>12 5 00 09812</t>
  </si>
  <si>
    <t>Субсидия на компенсацию оплаты основного долга  по ипотечному жилищному кредиту</t>
  </si>
  <si>
    <t>02 3 00 04400</t>
  </si>
  <si>
    <t>13 0 00 04400</t>
  </si>
  <si>
    <t xml:space="preserve">Субсидия на 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 </t>
  </si>
  <si>
    <t>Субсидия на оснащение планшетными компьютерами общеобразовательных организаций в Московской области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</si>
  <si>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</si>
  <si>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03 2 E4 52100</t>
  </si>
  <si>
    <t>Субсидия на оснащение мультимедийными проекторами и экранами для мультимедийных проекторов общеобразовательных организаций в Московской области</t>
  </si>
  <si>
    <t>14 2 00 S0250</t>
  </si>
  <si>
    <t xml:space="preserve">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 </t>
  </si>
  <si>
    <t>Софинансирование субсидии на оснащение планшетными компьютерами общеобразовательных организаций в Московской области</t>
  </si>
  <si>
    <t>03 2 E4 S2770</t>
  </si>
  <si>
    <t>03 2 E4 S2780</t>
  </si>
  <si>
    <t>Софинансирование субсидии на оснащение мультимедийными проекторами и экранами для мультимедийных проекторов общеобразовательных организаций в Московской области</t>
  </si>
  <si>
    <t>12 5 00 09809</t>
  </si>
  <si>
    <t>Осуществление полномочий (части полномочий) по предоставлению муниципальной услуги  "Выдача ордера на право производства земляных работ" за счет иных межбюджетных трансфертов из бюджета сельского поселения Лозовское</t>
  </si>
  <si>
    <t>Осуществление полномочий (части полномочий) по предоставлению муниципальной услуги  "Выдача ордера на право производства земляных работ" за счет иных межбюджетных трансфертов из бюджета городского поселения Хотьково</t>
  </si>
  <si>
    <t>12 5 00 09806</t>
  </si>
  <si>
    <t>Реализация мероприятий по устойчивому развитию сельских территорий</t>
  </si>
  <si>
    <t>14 1 00 S1570</t>
  </si>
  <si>
    <t>Исполнение судебных актов и мировых соглашений по возмещению вреда, причиненного в результате незаконных действий(бездействия) органов местного самоуправления либо должностных лиц этих органов, а также в результате деятельности казенных учреждений по имущественным отношениям</t>
  </si>
  <si>
    <t>12 5 00 00603</t>
  </si>
  <si>
    <t>Иные межбюджетные трансферты Сергиево-Посадскому муниципальному району в рамках осуществления дорожной деятельности по реализации программ формирования современной городской среды в части ремонта дворовых территорий за счет средств бюджета Московской области из бюджета городского поселения Сергиев Посад</t>
  </si>
  <si>
    <t>18 1 F2 S2740</t>
  </si>
  <si>
    <t>10 3 00 00690</t>
  </si>
  <si>
    <t>Иные межбюджетные трансферты Сергиево-Посадскому муниципальному району на осуществление части полномочий по организации теплоснабжения населения для проведения мероприятий по капитальному ремонту, строительству и модернизации объектов теплоснабжения из бюджета городского поселения Сергиев Посад</t>
  </si>
  <si>
    <t>18 1 F2 11300</t>
  </si>
  <si>
    <t>Иные межбюджетные трансферты Сергиево-Посадскому муниципальному району по реализации проектов создания комфортной городской среды в рамках Всероссийского конкурса лучших проектов создания комфортной городской среды, включая межбюджетные трансферты Сергиево-Посадскому муниципальному району в рамках организации благоустройства территории городского поселения (в части отдельных мероприятий по реализации проектов создания комфортной городской среды в рамках Всероссийского конкурса лучших проектов создания комфортной городской среды) из бюджета городского поселения Сергиев Посад</t>
  </si>
  <si>
    <t>Субвенция на обеспечение переданных государственных полномочий по созданию комиссий по делам несовершеннолетних и защите их прав городских округов и муниципальных районов</t>
  </si>
  <si>
    <t>Субсидия на закупку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</si>
  <si>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03 3 E2 S2480</t>
  </si>
  <si>
    <t>Организация безбарьерного доступа в подъезды многоквартирных домов</t>
  </si>
  <si>
    <t>23 0 00 88870</t>
  </si>
  <si>
    <t>Субсидия на подготовку основания, приобретение и установку плоскостных спортивных сооружений в муниципальных образованиях Московской области</t>
  </si>
  <si>
    <t>05 2 P5 S2610</t>
  </si>
  <si>
    <t>02 1 00 88820</t>
  </si>
  <si>
    <t>Закупка оборудования для организаций дополнительного образования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</si>
  <si>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03 2 E1 62760</t>
  </si>
  <si>
    <t>Обеспечение функционирования модели персонифицированного финансирования дополнительного образования детей</t>
  </si>
  <si>
    <t>03 3 00 88850</t>
  </si>
  <si>
    <t>Субсидия 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</t>
  </si>
  <si>
    <t>10 3 00 60300</t>
  </si>
  <si>
    <t>10 3 00 88940</t>
  </si>
  <si>
    <t>На исполнение обязательств  Муниципального унитарного предприятия Сергиево-Посадского муниципального района Московской области "Ресурс" (принципал)  по оплате потребленных энергоресурсов с целью бесперебойного обеспечения коммунальными ресурсами населения Сергиево-Посадского муниципального района, без права регрессного требования гаранта к принципалу</t>
  </si>
  <si>
    <t>25 1 00 04400</t>
  </si>
  <si>
    <t>22 0 00 87760</t>
  </si>
  <si>
    <t>Расходы на захоронение тел умерших, не имеющих супруга, близких родственников, иных родственников либо законных представителей умерших, невостребованных умерших и неустановленных личностей из морга после судебно-медицинской экспертизы</t>
  </si>
  <si>
    <t>Расходы на капитальные вложения в общеобразовательные организации в целях обеспечения односменного режима обучения (Школа на 550 мест)</t>
  </si>
  <si>
    <t>05 2 00 88820</t>
  </si>
  <si>
    <t>05 1 13 88820</t>
  </si>
  <si>
    <t>Субвенция на 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</si>
  <si>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12 5 00 51200</t>
  </si>
  <si>
    <t>02 3 А1 S0480</t>
  </si>
  <si>
    <t>03 2 D2 80600</t>
  </si>
  <si>
    <t>03 2 D2 S0600</t>
  </si>
  <si>
    <t>03 2 Е1 S4480</t>
  </si>
  <si>
    <t>03 2 E1 S4260</t>
  </si>
  <si>
    <t>03 2 Е1 84480</t>
  </si>
  <si>
    <t>07 0 G1 52428</t>
  </si>
  <si>
    <t>07 0 G1 82428</t>
  </si>
  <si>
    <t xml:space="preserve">Субсидия на разработку проектной документации на рекультивацию полигонов твёрдых коммунальных отходов </t>
  </si>
  <si>
    <t xml:space="preserve">Софинансирование субсидии на разработку проектной документации на рекультивацию полигонов твёрдых коммунальных отходов </t>
  </si>
  <si>
    <t xml:space="preserve">Расходы на разработку проектной документации на рекультивацию полигонов твёрдых коммунальных отходов </t>
  </si>
  <si>
    <t>10 1 00 S0330</t>
  </si>
  <si>
    <t>10 3 00 10117</t>
  </si>
  <si>
    <t>Софинансирование субсидии на установку контейнерных площадок в Сергиево-Посадском городском округе</t>
  </si>
  <si>
    <t>07 0 00 S2000</t>
  </si>
  <si>
    <t>Мероприятия в области коммунального хозяйства (субсидия Муниципальному унитарному предприятию Сергиево-Посадского муниципального района Московской области  "Районные коммунальные системы Сергиево-Посадского муниципального района" на подготовку объектов жилищно-коммунального хозяйства к отопительному зимнему периоду 2019-2020 гг.)</t>
  </si>
  <si>
    <t>95 0 00 09010</t>
  </si>
  <si>
    <t>Председатель законодательного (представительного) органа муниципального образования "Сергиево-Посадский городской округ " и его заместители</t>
  </si>
  <si>
    <t>На исполнение обязательств Муниципального унитарного предприятия Сергиево-Посадского муниципального района Московской области  "Районные коммунальные системы Сергиево-Посадского муниципального района" (принципал)  по оплате потребленных энергоресурсов с целью бесперебойного обеспечения коммунальными ресурсами населения Сергиево-Посадского городского округа, без права регрессного требования гаранта к принципалу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</si>
  <si>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</si>
  <si>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СПРАВОЧНЫЙ МАТЕРИАЛ</t>
  </si>
  <si>
    <t>02 3 00 88850</t>
  </si>
  <si>
    <t>10 3 00 61430</t>
  </si>
  <si>
    <t xml:space="preserve">Иные межбюджетные трансферты на реализацию отдельных мероприятий муниципальных программ, в том числе по государственной программе Московской области "Развитие инженерной инфраструктуры и энергоэффективности" </t>
  </si>
  <si>
    <t>Субсидия Муниципальному унитарному предприятию Сергиево-Посадского муниципального района Московской области  "Районные коммунальные системы Сергиево-Посадского муниципального района" на финансовое обеспечение затрат, связанных с покрытием экономически обоснованных убытков, возникших при эксплуатации котельных, работающих на жидком и твердом топливе</t>
  </si>
  <si>
    <t>10 3 00 88890</t>
  </si>
  <si>
    <t>Иные межбюджетные транcферты в форме дотаций, предоставляемые из бюджета Московской области бюджетам муниципальных образований Московской области</t>
  </si>
  <si>
    <t>03 1 00 65010</t>
  </si>
  <si>
    <t>03 2 00 65010</t>
  </si>
  <si>
    <t>Субсидия обществу с ограниченной ответственностью "Жилищно-коммунальный центр" на возмещение недополученных доходов предприятиям жилищно-коммунального хозяйства для оплаты задолженности за потребленные топливно-энергетические ресурсы (за природный газ) с целью организации обеспечения надежного теплоснабжения потребителей</t>
  </si>
  <si>
    <t>Субсидия обществу с ограниченной ответственностью "СПС Благоустройство" на возмещение недополученных доходов предприятиям жилищно-коммунального хозяйства для оплаты задолженности за потребленные топливно-энергетические ресурсы (за природный газ) с целью организации обеспечения надежного теплоснабжения потребителей</t>
  </si>
  <si>
    <t>Субсидия обществу с ограниченной ответственностью "Жилкомфорт" на возмещение недополученных доходов предприятиям жилищно-коммунального хозяйства для оплаты задолженности за потребленные топливно-энергетические ресурсы (за природный газ) с целью организации обеспечения надежного теплоснабжения потребителей</t>
  </si>
  <si>
    <t>Субсидия обществу с ограниченной ответственностью "Жилкомфорт" на возмещение недополученных доходов предприятиям жилищно-коммунального хозяйства для оплаты задолженности за потребленные топливно-энергетические ресурсы (за электроэнергию) с целью организации обеспечения надежного теплоснабжения потребителей</t>
  </si>
  <si>
    <t>Субсидия на устройство контейнерных площадок</t>
  </si>
  <si>
    <t>18 1 00 S1670</t>
  </si>
  <si>
    <t>Софинансирование субсидии на устройство контейнерных площадок</t>
  </si>
  <si>
    <t>Субсидия на возмещение недополученных доходов предприятиям жилищно-коммунального хозяйства для оплаты задолженности за потребленные топливно-энергетические ресурсы (за природный газ) с целью организации обеспечения надежного теплоснабжения потребителей</t>
  </si>
  <si>
    <t>Субсидия на возмещение недополученных доходов предприятиям жилищно-коммунального хозяйства для оплаты задолженности за потребленные топливно-энергетические ресурсы (за электроэнергию) с целью организации обеспечения надежного теплоснабжения потребителей</t>
  </si>
  <si>
    <t>Субсидия на 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</si>
  <si>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Субсидия на организацию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 и муниципальных услуг</t>
  </si>
  <si>
    <t xml:space="preserve"> Мероприятия по предупреждению возникновения аварийной ситуации на объектах жилищно-коммунального хозяйства</t>
  </si>
  <si>
    <t>10 3 00 88880</t>
  </si>
  <si>
    <t>17 0 00 S0650</t>
  </si>
  <si>
    <t>17 0 00 S0140</t>
  </si>
  <si>
    <t>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</si>
  <si>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Софинансирование субсидии на организацию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 и муниципальных услуг</t>
  </si>
  <si>
    <t>18 3 00 S5010</t>
  </si>
  <si>
    <t>Иные межбюджетные трансферты в форме дотаций на возмещение затрат на ремонт подъездов в рамках государственной программы "Формирование современной комфортной городской среды",за работы, выполненные в 2018 году</t>
  </si>
  <si>
    <t xml:space="preserve">Иные межбюджетные трансферты в форме дотаций </t>
  </si>
  <si>
    <t>340</t>
  </si>
  <si>
    <t>350</t>
  </si>
  <si>
    <t>Стипендии</t>
  </si>
  <si>
    <t>Премии и гранты</t>
  </si>
  <si>
    <t>Приложение № 2</t>
  </si>
  <si>
    <t>городского округа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</si>
</sst>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#,##0.0"/>
    <numFmt numFmtId="175" formatCode="000000"/>
    <numFmt numFmtId="176" formatCode="#,##0.0_ ;\-#,##0.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1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8"/>
      <name val="Segoe UI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8"/>
      <color theme="3"/>
      <name val="Calibri Light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174" fontId="0" fillId="0" borderId="0" xfId="0" applyNumberFormat="1" applyAlignment="1">
      <alignment/>
    </xf>
    <xf numFmtId="49" fontId="0" fillId="0" borderId="0" xfId="0" applyNumberFormat="1" applyFill="1" applyBorder="1" applyAlignment="1">
      <alignment wrapText="1"/>
    </xf>
    <xf numFmtId="0" fontId="0" fillId="0" borderId="0" xfId="0" applyBorder="1" applyAlignment="1">
      <alignment/>
    </xf>
    <xf numFmtId="4" fontId="0" fillId="0" borderId="0" xfId="0" applyNumberFormat="1" applyAlignment="1">
      <alignment wrapText="1"/>
    </xf>
    <xf numFmtId="49" fontId="8" fillId="0" borderId="10" xfId="0" applyNumberFormat="1" applyFont="1" applyBorder="1" applyAlignment="1">
      <alignment horizontal="center" wrapText="1"/>
    </xf>
    <xf numFmtId="174" fontId="9" fillId="0" borderId="11" xfId="0" applyNumberFormat="1" applyFont="1" applyBorder="1" applyAlignment="1">
      <alignment/>
    </xf>
    <xf numFmtId="174" fontId="9" fillId="0" borderId="10" xfId="0" applyNumberFormat="1" applyFont="1" applyBorder="1" applyAlignment="1">
      <alignment wrapText="1"/>
    </xf>
    <xf numFmtId="174" fontId="9" fillId="0" borderId="11" xfId="0" applyNumberFormat="1" applyFont="1" applyBorder="1" applyAlignment="1">
      <alignment wrapText="1"/>
    </xf>
    <xf numFmtId="174" fontId="7" fillId="0" borderId="11" xfId="0" applyNumberFormat="1" applyFont="1" applyBorder="1" applyAlignment="1">
      <alignment wrapText="1"/>
    </xf>
    <xf numFmtId="0" fontId="2" fillId="0" borderId="11" xfId="0" applyFont="1" applyBorder="1" applyAlignment="1">
      <alignment wrapText="1"/>
    </xf>
    <xf numFmtId="49" fontId="2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174" fontId="2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center" wrapText="1"/>
    </xf>
    <xf numFmtId="174" fontId="2" fillId="0" borderId="11" xfId="0" applyNumberFormat="1" applyFont="1" applyBorder="1" applyAlignment="1">
      <alignment wrapText="1"/>
    </xf>
    <xf numFmtId="49" fontId="2" fillId="0" borderId="12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wrapText="1"/>
    </xf>
    <xf numFmtId="49" fontId="2" fillId="0" borderId="13" xfId="0" applyNumberFormat="1" applyFont="1" applyBorder="1" applyAlignment="1">
      <alignment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wrapText="1"/>
    </xf>
    <xf numFmtId="174" fontId="2" fillId="0" borderId="10" xfId="0" applyNumberFormat="1" applyFont="1" applyFill="1" applyBorder="1" applyAlignment="1">
      <alignment wrapText="1"/>
    </xf>
    <xf numFmtId="49" fontId="2" fillId="0" borderId="12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74" fontId="2" fillId="0" borderId="11" xfId="0" applyNumberFormat="1" applyFont="1" applyBorder="1" applyAlignment="1">
      <alignment vertical="center" wrapText="1"/>
    </xf>
    <xf numFmtId="174" fontId="2" fillId="0" borderId="11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right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wrapText="1"/>
    </xf>
    <xf numFmtId="49" fontId="8" fillId="0" borderId="12" xfId="0" applyNumberFormat="1" applyFont="1" applyFill="1" applyBorder="1" applyAlignment="1">
      <alignment wrapText="1"/>
    </xf>
    <xf numFmtId="49" fontId="8" fillId="0" borderId="11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 wrapText="1"/>
    </xf>
    <xf numFmtId="174" fontId="8" fillId="0" borderId="11" xfId="0" applyNumberFormat="1" applyFont="1" applyBorder="1" applyAlignment="1">
      <alignment wrapText="1"/>
    </xf>
    <xf numFmtId="49" fontId="8" fillId="0" borderId="12" xfId="0" applyNumberFormat="1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8" fillId="0" borderId="12" xfId="0" applyFont="1" applyBorder="1" applyAlignment="1">
      <alignment wrapText="1"/>
    </xf>
    <xf numFmtId="174" fontId="8" fillId="0" borderId="11" xfId="0" applyNumberFormat="1" applyFont="1" applyBorder="1" applyAlignment="1">
      <alignment/>
    </xf>
    <xf numFmtId="174" fontId="8" fillId="0" borderId="10" xfId="0" applyNumberFormat="1" applyFont="1" applyBorder="1" applyAlignment="1">
      <alignment/>
    </xf>
    <xf numFmtId="0" fontId="8" fillId="0" borderId="12" xfId="0" applyFont="1" applyFill="1" applyBorder="1" applyAlignment="1">
      <alignment wrapText="1"/>
    </xf>
    <xf numFmtId="49" fontId="8" fillId="0" borderId="11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49" fontId="9" fillId="0" borderId="12" xfId="0" applyNumberFormat="1" applyFont="1" applyBorder="1" applyAlignment="1">
      <alignment wrapText="1"/>
    </xf>
    <xf numFmtId="174" fontId="8" fillId="0" borderId="11" xfId="0" applyNumberFormat="1" applyFont="1" applyFill="1" applyBorder="1" applyAlignment="1">
      <alignment wrapText="1"/>
    </xf>
    <xf numFmtId="49" fontId="8" fillId="0" borderId="11" xfId="0" applyNumberFormat="1" applyFont="1" applyBorder="1" applyAlignment="1">
      <alignment wrapText="1"/>
    </xf>
    <xf numFmtId="0" fontId="8" fillId="0" borderId="12" xfId="0" applyFont="1" applyFill="1" applyBorder="1" applyAlignment="1">
      <alignment horizontal="left" wrapText="1"/>
    </xf>
    <xf numFmtId="174" fontId="8" fillId="0" borderId="10" xfId="0" applyNumberFormat="1" applyFont="1" applyFill="1" applyBorder="1" applyAlignment="1">
      <alignment wrapText="1"/>
    </xf>
    <xf numFmtId="49" fontId="9" fillId="0" borderId="12" xfId="0" applyNumberFormat="1" applyFont="1" applyBorder="1" applyAlignment="1">
      <alignment vertical="center" wrapText="1"/>
    </xf>
    <xf numFmtId="49" fontId="10" fillId="0" borderId="12" xfId="0" applyNumberFormat="1" applyFont="1" applyFill="1" applyBorder="1" applyAlignment="1">
      <alignment wrapText="1"/>
    </xf>
    <xf numFmtId="0" fontId="8" fillId="0" borderId="12" xfId="0" applyNumberFormat="1" applyFont="1" applyFill="1" applyBorder="1" applyAlignment="1">
      <alignment wrapText="1"/>
    </xf>
    <xf numFmtId="174" fontId="8" fillId="0" borderId="10" xfId="0" applyNumberFormat="1" applyFont="1" applyBorder="1" applyAlignment="1">
      <alignment wrapText="1"/>
    </xf>
    <xf numFmtId="0" fontId="8" fillId="0" borderId="11" xfId="0" applyFont="1" applyFill="1" applyBorder="1" applyAlignment="1">
      <alignment wrapText="1"/>
    </xf>
    <xf numFmtId="49" fontId="9" fillId="0" borderId="11" xfId="0" applyNumberFormat="1" applyFont="1" applyBorder="1" applyAlignment="1">
      <alignment wrapText="1"/>
    </xf>
    <xf numFmtId="49" fontId="8" fillId="0" borderId="11" xfId="0" applyNumberFormat="1" applyFont="1" applyFill="1" applyBorder="1" applyAlignment="1">
      <alignment wrapText="1"/>
    </xf>
    <xf numFmtId="0" fontId="9" fillId="0" borderId="12" xfId="0" applyFont="1" applyFill="1" applyBorder="1" applyAlignment="1">
      <alignment wrapText="1"/>
    </xf>
    <xf numFmtId="49" fontId="9" fillId="0" borderId="10" xfId="0" applyNumberFormat="1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 wrapText="1"/>
    </xf>
    <xf numFmtId="0" fontId="9" fillId="0" borderId="11" xfId="0" applyFont="1" applyBorder="1" applyAlignment="1">
      <alignment horizontal="left" wrapText="1"/>
    </xf>
    <xf numFmtId="49" fontId="9" fillId="0" borderId="11" xfId="0" applyNumberFormat="1" applyFont="1" applyBorder="1" applyAlignment="1">
      <alignment horizontal="center"/>
    </xf>
    <xf numFmtId="174" fontId="10" fillId="0" borderId="11" xfId="0" applyNumberFormat="1" applyFont="1" applyBorder="1" applyAlignment="1">
      <alignment/>
    </xf>
    <xf numFmtId="0" fontId="8" fillId="0" borderId="12" xfId="0" applyNumberFormat="1" applyFont="1" applyBorder="1" applyAlignment="1">
      <alignment horizontal="left" wrapText="1"/>
    </xf>
    <xf numFmtId="0" fontId="8" fillId="0" borderId="11" xfId="0" applyFont="1" applyFill="1" applyBorder="1" applyAlignment="1">
      <alignment horizontal="left" wrapText="1"/>
    </xf>
    <xf numFmtId="49" fontId="8" fillId="0" borderId="11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172" fontId="9" fillId="0" borderId="11" xfId="0" applyNumberFormat="1" applyFont="1" applyBorder="1" applyAlignment="1">
      <alignment wrapText="1"/>
    </xf>
    <xf numFmtId="175" fontId="8" fillId="0" borderId="12" xfId="0" applyNumberFormat="1" applyFont="1" applyBorder="1" applyAlignment="1">
      <alignment wrapText="1"/>
    </xf>
    <xf numFmtId="0" fontId="8" fillId="0" borderId="11" xfId="0" applyNumberFormat="1" applyFont="1" applyBorder="1" applyAlignment="1">
      <alignment horizontal="left" wrapText="1"/>
    </xf>
    <xf numFmtId="49" fontId="10" fillId="0" borderId="11" xfId="0" applyNumberFormat="1" applyFont="1" applyBorder="1" applyAlignment="1">
      <alignment horizontal="center" wrapText="1"/>
    </xf>
    <xf numFmtId="0" fontId="10" fillId="0" borderId="12" xfId="0" applyFont="1" applyFill="1" applyBorder="1" applyAlignment="1">
      <alignment wrapText="1"/>
    </xf>
    <xf numFmtId="174" fontId="10" fillId="0" borderId="11" xfId="0" applyNumberFormat="1" applyFont="1" applyBorder="1" applyAlignment="1">
      <alignment wrapText="1"/>
    </xf>
    <xf numFmtId="174" fontId="10" fillId="0" borderId="14" xfId="0" applyNumberFormat="1" applyFont="1" applyBorder="1" applyAlignment="1">
      <alignment wrapText="1"/>
    </xf>
    <xf numFmtId="49" fontId="8" fillId="0" borderId="14" xfId="0" applyNumberFormat="1" applyFont="1" applyBorder="1" applyAlignment="1">
      <alignment horizontal="center" wrapText="1"/>
    </xf>
    <xf numFmtId="174" fontId="8" fillId="0" borderId="14" xfId="0" applyNumberFormat="1" applyFont="1" applyBorder="1" applyAlignment="1">
      <alignment wrapText="1"/>
    </xf>
    <xf numFmtId="0" fontId="8" fillId="0" borderId="11" xfId="0" applyFont="1" applyBorder="1" applyAlignment="1">
      <alignment horizontal="left" wrapText="1"/>
    </xf>
    <xf numFmtId="49" fontId="9" fillId="0" borderId="11" xfId="0" applyNumberFormat="1" applyFont="1" applyFill="1" applyBorder="1" applyAlignment="1">
      <alignment wrapText="1"/>
    </xf>
    <xf numFmtId="49" fontId="9" fillId="0" borderId="11" xfId="0" applyNumberFormat="1" applyFont="1" applyFill="1" applyBorder="1" applyAlignment="1">
      <alignment horizontal="center" wrapText="1"/>
    </xf>
    <xf numFmtId="174" fontId="9" fillId="0" borderId="11" xfId="0" applyNumberFormat="1" applyFont="1" applyFill="1" applyBorder="1" applyAlignment="1">
      <alignment wrapText="1"/>
    </xf>
    <xf numFmtId="174" fontId="10" fillId="0" borderId="11" xfId="0" applyNumberFormat="1" applyFont="1" applyFill="1" applyBorder="1" applyAlignment="1">
      <alignment wrapText="1"/>
    </xf>
    <xf numFmtId="49" fontId="9" fillId="0" borderId="10" xfId="0" applyNumberFormat="1" applyFont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49" fontId="7" fillId="0" borderId="12" xfId="0" applyNumberFormat="1" applyFont="1" applyBorder="1" applyAlignment="1">
      <alignment horizontal="center" wrapText="1"/>
    </xf>
    <xf numFmtId="0" fontId="8" fillId="0" borderId="11" xfId="0" applyFont="1" applyBorder="1" applyAlignment="1">
      <alignment/>
    </xf>
    <xf numFmtId="49" fontId="1" fillId="0" borderId="11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wrapText="1"/>
    </xf>
    <xf numFmtId="49" fontId="11" fillId="0" borderId="11" xfId="0" applyNumberFormat="1" applyFont="1" applyBorder="1" applyAlignment="1">
      <alignment horizontal="center" wrapText="1"/>
    </xf>
    <xf numFmtId="174" fontId="11" fillId="0" borderId="11" xfId="0" applyNumberFormat="1" applyFont="1" applyBorder="1" applyAlignment="1">
      <alignment wrapText="1"/>
    </xf>
    <xf numFmtId="174" fontId="9" fillId="0" borderId="10" xfId="0" applyNumberFormat="1" applyFont="1" applyFill="1" applyBorder="1" applyAlignment="1">
      <alignment wrapText="1"/>
    </xf>
    <xf numFmtId="174" fontId="1" fillId="0" borderId="11" xfId="0" applyNumberFormat="1" applyFont="1" applyBorder="1" applyAlignment="1">
      <alignment horizontal="right" vertical="center" wrapText="1"/>
    </xf>
    <xf numFmtId="174" fontId="1" fillId="0" borderId="11" xfId="0" applyNumberFormat="1" applyFont="1" applyBorder="1" applyAlignment="1">
      <alignment wrapText="1"/>
    </xf>
    <xf numFmtId="49" fontId="7" fillId="0" borderId="11" xfId="0" applyNumberFormat="1" applyFont="1" applyFill="1" applyBorder="1" applyAlignment="1">
      <alignment horizontal="center" wrapText="1"/>
    </xf>
    <xf numFmtId="174" fontId="0" fillId="0" borderId="0" xfId="0" applyNumberFormat="1" applyAlignment="1">
      <alignment/>
    </xf>
    <xf numFmtId="174" fontId="5" fillId="0" borderId="0" xfId="0" applyNumberFormat="1" applyFont="1" applyAlignment="1">
      <alignment/>
    </xf>
    <xf numFmtId="2" fontId="8" fillId="0" borderId="11" xfId="0" applyNumberFormat="1" applyFont="1" applyBorder="1" applyAlignment="1">
      <alignment wrapText="1"/>
    </xf>
    <xf numFmtId="174" fontId="2" fillId="0" borderId="10" xfId="0" applyNumberFormat="1" applyFont="1" applyBorder="1" applyAlignment="1">
      <alignment wrapText="1"/>
    </xf>
    <xf numFmtId="49" fontId="10" fillId="0" borderId="12" xfId="0" applyNumberFormat="1" applyFont="1" applyBorder="1" applyAlignment="1">
      <alignment wrapText="1"/>
    </xf>
    <xf numFmtId="0" fontId="10" fillId="0" borderId="12" xfId="0" applyFont="1" applyBorder="1" applyAlignment="1">
      <alignment wrapText="1"/>
    </xf>
    <xf numFmtId="49" fontId="10" fillId="0" borderId="11" xfId="0" applyNumberFormat="1" applyFont="1" applyBorder="1" applyAlignment="1">
      <alignment wrapText="1"/>
    </xf>
    <xf numFmtId="174" fontId="10" fillId="0" borderId="10" xfId="0" applyNumberFormat="1" applyFont="1" applyBorder="1" applyAlignment="1">
      <alignment wrapText="1"/>
    </xf>
    <xf numFmtId="49" fontId="11" fillId="0" borderId="10" xfId="0" applyNumberFormat="1" applyFont="1" applyBorder="1" applyAlignment="1">
      <alignment horizontal="center" wrapText="1"/>
    </xf>
    <xf numFmtId="174" fontId="11" fillId="0" borderId="10" xfId="0" applyNumberFormat="1" applyFont="1" applyBorder="1" applyAlignment="1">
      <alignment wrapText="1"/>
    </xf>
    <xf numFmtId="0" fontId="12" fillId="0" borderId="13" xfId="0" applyFont="1" applyFill="1" applyBorder="1" applyAlignment="1">
      <alignment wrapText="1"/>
    </xf>
    <xf numFmtId="49" fontId="12" fillId="0" borderId="11" xfId="0" applyNumberFormat="1" applyFont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49" fontId="12" fillId="0" borderId="10" xfId="0" applyNumberFormat="1" applyFont="1" applyBorder="1" applyAlignment="1">
      <alignment horizontal="center"/>
    </xf>
    <xf numFmtId="174" fontId="12" fillId="0" borderId="10" xfId="0" applyNumberFormat="1" applyFont="1" applyBorder="1" applyAlignment="1">
      <alignment wrapText="1"/>
    </xf>
    <xf numFmtId="174" fontId="8" fillId="0" borderId="1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 horizontal="left"/>
    </xf>
    <xf numFmtId="174" fontId="0" fillId="0" borderId="0" xfId="0" applyNumberFormat="1" applyFill="1" applyAlignment="1">
      <alignment/>
    </xf>
    <xf numFmtId="174" fontId="5" fillId="0" borderId="0" xfId="0" applyNumberFormat="1" applyFont="1" applyAlignment="1">
      <alignment horizontal="center" vertical="center"/>
    </xf>
    <xf numFmtId="0" fontId="13" fillId="0" borderId="0" xfId="0" applyFont="1" applyAlignment="1">
      <alignment/>
    </xf>
    <xf numFmtId="49" fontId="13" fillId="0" borderId="11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wrapText="1"/>
    </xf>
    <xf numFmtId="174" fontId="7" fillId="0" borderId="10" xfId="0" applyNumberFormat="1" applyFont="1" applyFill="1" applyBorder="1" applyAlignment="1">
      <alignment wrapText="1"/>
    </xf>
    <xf numFmtId="0" fontId="8" fillId="0" borderId="12" xfId="0" applyFont="1" applyBorder="1" applyAlignment="1">
      <alignment horizontal="left" wrapText="1"/>
    </xf>
    <xf numFmtId="49" fontId="2" fillId="0" borderId="0" xfId="0" applyNumberFormat="1" applyFont="1" applyAlignment="1">
      <alignment horizontal="center" wrapText="1"/>
    </xf>
    <xf numFmtId="0" fontId="13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1229"/>
  <sheetViews>
    <sheetView tabSelected="1" view="pageBreakPreview" zoomScale="140" zoomScaleNormal="140" zoomScaleSheetLayoutView="140" workbookViewId="0" topLeftCell="A1">
      <selection activeCell="E5" sqref="E5"/>
    </sheetView>
  </sheetViews>
  <sheetFormatPr defaultColWidth="9.00390625" defaultRowHeight="12.75"/>
  <cols>
    <col min="1" max="1" width="55.875" style="0" customWidth="1"/>
    <col min="2" max="2" width="11.375" style="0" customWidth="1"/>
    <col min="3" max="3" width="15.50390625" style="0" customWidth="1"/>
    <col min="4" max="4" width="9.50390625" style="0" customWidth="1"/>
    <col min="5" max="5" width="15.50390625" style="0" customWidth="1"/>
    <col min="6" max="6" width="17.50390625" style="0" customWidth="1"/>
    <col min="8" max="8" width="12.625" style="0" customWidth="1"/>
    <col min="9" max="9" width="10.625" style="0" bestFit="1" customWidth="1"/>
  </cols>
  <sheetData>
    <row r="1" spans="1:6" ht="12.75">
      <c r="A1" s="120"/>
      <c r="B1" s="120"/>
      <c r="C1" s="120"/>
      <c r="D1" s="120"/>
      <c r="E1" s="120"/>
      <c r="F1" s="120"/>
    </row>
    <row r="2" spans="1:6" ht="13.5">
      <c r="A2" s="120"/>
      <c r="B2" s="120"/>
      <c r="C2" s="120"/>
      <c r="D2" s="120"/>
      <c r="E2" s="116" t="s">
        <v>782</v>
      </c>
      <c r="F2" s="31"/>
    </row>
    <row r="3" spans="1:6" ht="13.5">
      <c r="A3" s="120"/>
      <c r="B3" s="120"/>
      <c r="C3" s="120"/>
      <c r="D3" s="120"/>
      <c r="E3" s="31" t="s">
        <v>153</v>
      </c>
      <c r="F3" s="31"/>
    </row>
    <row r="4" spans="1:6" ht="13.5">
      <c r="A4" s="120"/>
      <c r="B4" s="120"/>
      <c r="C4" s="120"/>
      <c r="D4" s="120"/>
      <c r="E4" s="31" t="s">
        <v>154</v>
      </c>
      <c r="F4" s="31"/>
    </row>
    <row r="5" spans="1:6" ht="13.5">
      <c r="A5" s="120"/>
      <c r="B5" s="120"/>
      <c r="C5" s="120"/>
      <c r="D5" s="120"/>
      <c r="E5" s="31" t="s">
        <v>783</v>
      </c>
      <c r="F5" s="31"/>
    </row>
    <row r="6" spans="1:6" ht="13.5">
      <c r="A6" s="120"/>
      <c r="B6" s="120"/>
      <c r="C6" s="120"/>
      <c r="D6" s="120"/>
      <c r="E6" s="31" t="s">
        <v>49</v>
      </c>
      <c r="F6" s="31"/>
    </row>
    <row r="7" spans="1:6" ht="13.5">
      <c r="A7" s="120"/>
      <c r="B7" s="120"/>
      <c r="C7" s="120"/>
      <c r="D7" s="120"/>
      <c r="E7" s="117" t="s">
        <v>533</v>
      </c>
      <c r="F7" s="31"/>
    </row>
    <row r="8" spans="1:6" ht="12.75">
      <c r="A8" s="120"/>
      <c r="B8" s="120"/>
      <c r="C8" s="120"/>
      <c r="D8" s="120"/>
      <c r="E8" s="120"/>
      <c r="F8" s="120"/>
    </row>
    <row r="9" spans="1:6" ht="13.5">
      <c r="A9" s="31"/>
      <c r="B9" s="31"/>
      <c r="C9" s="31"/>
      <c r="D9" s="31"/>
      <c r="E9" s="31"/>
      <c r="F9" s="31"/>
    </row>
    <row r="10" spans="1:6" ht="13.5">
      <c r="A10" s="31"/>
      <c r="B10" s="31"/>
      <c r="C10" s="31"/>
      <c r="D10" s="31"/>
      <c r="E10" s="116" t="s">
        <v>492</v>
      </c>
      <c r="F10" s="31"/>
    </row>
    <row r="11" spans="1:6" ht="13.5">
      <c r="A11" s="31"/>
      <c r="B11" s="31"/>
      <c r="C11" s="31"/>
      <c r="D11" s="31"/>
      <c r="E11" s="31" t="s">
        <v>153</v>
      </c>
      <c r="F11" s="31"/>
    </row>
    <row r="12" spans="1:6" ht="13.5">
      <c r="A12" s="31"/>
      <c r="B12" s="31"/>
      <c r="C12" s="31"/>
      <c r="D12" s="31"/>
      <c r="E12" s="31" t="s">
        <v>154</v>
      </c>
      <c r="F12" s="31"/>
    </row>
    <row r="13" spans="1:6" ht="13.5">
      <c r="A13" s="31"/>
      <c r="B13" s="31"/>
      <c r="C13" s="31"/>
      <c r="D13" s="31"/>
      <c r="E13" s="31" t="s">
        <v>155</v>
      </c>
      <c r="F13" s="31"/>
    </row>
    <row r="14" spans="1:6" ht="13.5">
      <c r="A14" s="31"/>
      <c r="B14" s="31"/>
      <c r="C14" s="31"/>
      <c r="D14" s="31"/>
      <c r="E14" s="31" t="s">
        <v>49</v>
      </c>
      <c r="F14" s="31"/>
    </row>
    <row r="15" spans="1:6" ht="13.5">
      <c r="A15" s="31"/>
      <c r="B15" s="31"/>
      <c r="C15" s="31"/>
      <c r="D15" s="31"/>
      <c r="E15" s="117" t="s">
        <v>536</v>
      </c>
      <c r="F15" s="31"/>
    </row>
    <row r="16" spans="1:6" ht="13.5">
      <c r="A16" s="31"/>
      <c r="B16" s="31"/>
      <c r="C16" s="31"/>
      <c r="D16" s="31"/>
      <c r="E16" s="31"/>
      <c r="F16" s="31"/>
    </row>
    <row r="17" spans="1:6" ht="13.5">
      <c r="A17" s="31"/>
      <c r="B17" s="31"/>
      <c r="C17" s="31"/>
      <c r="D17" s="31"/>
      <c r="E17" s="31"/>
      <c r="F17" s="31"/>
    </row>
    <row r="18" spans="1:6" ht="13.5">
      <c r="A18" s="31"/>
      <c r="B18" s="31"/>
      <c r="C18" s="31"/>
      <c r="D18" s="31"/>
      <c r="E18" s="31"/>
      <c r="F18" s="31"/>
    </row>
    <row r="19" spans="1:6" ht="50.25" customHeight="1">
      <c r="A19" s="125" t="s">
        <v>206</v>
      </c>
      <c r="B19" s="125"/>
      <c r="C19" s="125"/>
      <c r="D19" s="125"/>
      <c r="E19" s="125"/>
      <c r="F19" s="125"/>
    </row>
    <row r="20" spans="1:6" ht="18.75" customHeight="1">
      <c r="A20" s="125" t="s">
        <v>511</v>
      </c>
      <c r="B20" s="126"/>
      <c r="C20" s="126"/>
      <c r="D20" s="126"/>
      <c r="E20" s="126"/>
      <c r="F20" s="126"/>
    </row>
    <row r="21" spans="1:6" ht="22.5" customHeight="1">
      <c r="A21" s="32"/>
      <c r="B21" s="32"/>
      <c r="C21" s="32"/>
      <c r="D21" s="32"/>
      <c r="E21" s="32"/>
      <c r="F21" s="32"/>
    </row>
    <row r="22" spans="1:6" ht="13.5">
      <c r="A22" s="31"/>
      <c r="B22" s="31"/>
      <c r="C22" s="31"/>
      <c r="D22" s="31"/>
      <c r="E22" s="31"/>
      <c r="F22" s="33" t="s">
        <v>57</v>
      </c>
    </row>
    <row r="23" spans="1:6" s="1" customFormat="1" ht="18.75" customHeight="1">
      <c r="A23" s="127" t="s">
        <v>84</v>
      </c>
      <c r="B23" s="129" t="s">
        <v>85</v>
      </c>
      <c r="C23" s="130"/>
      <c r="D23" s="131"/>
      <c r="E23" s="132" t="s">
        <v>86</v>
      </c>
      <c r="F23" s="132" t="s">
        <v>207</v>
      </c>
    </row>
    <row r="24" spans="1:6" s="1" customFormat="1" ht="39" customHeight="1">
      <c r="A24" s="128"/>
      <c r="B24" s="34" t="s">
        <v>87</v>
      </c>
      <c r="C24" s="34" t="s">
        <v>88</v>
      </c>
      <c r="D24" s="34" t="s">
        <v>89</v>
      </c>
      <c r="E24" s="133"/>
      <c r="F24" s="133"/>
    </row>
    <row r="25" spans="1:8" s="5" customFormat="1" ht="24.75" customHeight="1">
      <c r="A25" s="15" t="s">
        <v>133</v>
      </c>
      <c r="B25" s="16" t="s">
        <v>90</v>
      </c>
      <c r="C25" s="17"/>
      <c r="D25" s="16"/>
      <c r="E25" s="18">
        <f>E26+E49+E257+E118+E261+E33</f>
        <v>674800.9</v>
      </c>
      <c r="F25" s="18">
        <f>F26+F49+F257+F118+F261+F33</f>
        <v>41724</v>
      </c>
      <c r="H25" s="101"/>
    </row>
    <row r="26" spans="1:6" s="1" customFormat="1" ht="30" customHeight="1">
      <c r="A26" s="35" t="s">
        <v>65</v>
      </c>
      <c r="B26" s="65" t="s">
        <v>143</v>
      </c>
      <c r="C26" s="63"/>
      <c r="D26" s="63"/>
      <c r="E26" s="13">
        <f aca="true" t="shared" si="0" ref="E26:E31">E27</f>
        <v>4541.2</v>
      </c>
      <c r="F26" s="13"/>
    </row>
    <row r="27" spans="1:6" s="1" customFormat="1" ht="19.5" customHeight="1">
      <c r="A27" s="36" t="s">
        <v>245</v>
      </c>
      <c r="B27" s="37" t="s">
        <v>143</v>
      </c>
      <c r="C27" s="38" t="s">
        <v>20</v>
      </c>
      <c r="D27" s="39"/>
      <c r="E27" s="40">
        <f t="shared" si="0"/>
        <v>4541.2</v>
      </c>
      <c r="F27" s="11"/>
    </row>
    <row r="28" spans="1:6" s="1" customFormat="1" ht="21.75" customHeight="1">
      <c r="A28" s="41" t="s">
        <v>41</v>
      </c>
      <c r="B28" s="37" t="s">
        <v>143</v>
      </c>
      <c r="C28" s="39" t="s">
        <v>21</v>
      </c>
      <c r="D28" s="39"/>
      <c r="E28" s="40">
        <f t="shared" si="0"/>
        <v>4541.2</v>
      </c>
      <c r="F28" s="11"/>
    </row>
    <row r="29" spans="1:6" s="1" customFormat="1" ht="47.25" customHeight="1">
      <c r="A29" s="42" t="s">
        <v>170</v>
      </c>
      <c r="B29" s="37" t="s">
        <v>143</v>
      </c>
      <c r="C29" s="39" t="s">
        <v>22</v>
      </c>
      <c r="D29" s="39"/>
      <c r="E29" s="40">
        <f t="shared" si="0"/>
        <v>4541.2</v>
      </c>
      <c r="F29" s="40"/>
    </row>
    <row r="30" spans="1:6" s="1" customFormat="1" ht="18" customHeight="1">
      <c r="A30" s="43" t="s">
        <v>144</v>
      </c>
      <c r="B30" s="37" t="s">
        <v>143</v>
      </c>
      <c r="C30" s="39" t="str">
        <f>$C$29</f>
        <v>12 5 00 01000</v>
      </c>
      <c r="D30" s="39"/>
      <c r="E30" s="40">
        <f t="shared" si="0"/>
        <v>4541.2</v>
      </c>
      <c r="F30" s="40"/>
    </row>
    <row r="31" spans="1:6" s="1" customFormat="1" ht="57.75" customHeight="1">
      <c r="A31" s="43" t="s">
        <v>331</v>
      </c>
      <c r="B31" s="37" t="s">
        <v>143</v>
      </c>
      <c r="C31" s="39" t="str">
        <f>$C$30</f>
        <v>12 5 00 01000</v>
      </c>
      <c r="D31" s="39" t="s">
        <v>179</v>
      </c>
      <c r="E31" s="40">
        <f t="shared" si="0"/>
        <v>4541.2</v>
      </c>
      <c r="F31" s="40"/>
    </row>
    <row r="32" spans="1:6" s="1" customFormat="1" ht="21" customHeight="1">
      <c r="A32" s="43" t="s">
        <v>172</v>
      </c>
      <c r="B32" s="37" t="s">
        <v>143</v>
      </c>
      <c r="C32" s="39" t="str">
        <f>$C$30</f>
        <v>12 5 00 01000</v>
      </c>
      <c r="D32" s="39" t="s">
        <v>171</v>
      </c>
      <c r="E32" s="40">
        <f>3731+800+310.2+1000-1300</f>
        <v>4541.2</v>
      </c>
      <c r="F32" s="40"/>
    </row>
    <row r="33" spans="1:8" s="1" customFormat="1" ht="59.25" customHeight="1">
      <c r="A33" s="35" t="s">
        <v>237</v>
      </c>
      <c r="B33" s="65" t="s">
        <v>238</v>
      </c>
      <c r="C33" s="63"/>
      <c r="D33" s="63"/>
      <c r="E33" s="13">
        <f>E34</f>
        <v>1930.9</v>
      </c>
      <c r="F33" s="13"/>
      <c r="H33" s="100"/>
    </row>
    <row r="34" spans="1:6" s="1" customFormat="1" ht="47.25" customHeight="1">
      <c r="A34" s="42" t="s">
        <v>170</v>
      </c>
      <c r="B34" s="37" t="s">
        <v>238</v>
      </c>
      <c r="C34" s="39" t="s">
        <v>23</v>
      </c>
      <c r="D34" s="39"/>
      <c r="E34" s="40">
        <f>E35</f>
        <v>1930.9</v>
      </c>
      <c r="F34" s="40"/>
    </row>
    <row r="35" spans="1:6" s="1" customFormat="1" ht="21" customHeight="1">
      <c r="A35" s="42" t="s">
        <v>116</v>
      </c>
      <c r="B35" s="37" t="s">
        <v>238</v>
      </c>
      <c r="C35" s="39" t="s">
        <v>24</v>
      </c>
      <c r="D35" s="39"/>
      <c r="E35" s="40">
        <f>E36+E39+E46</f>
        <v>1930.9</v>
      </c>
      <c r="F35" s="40"/>
    </row>
    <row r="36" spans="1:6" s="1" customFormat="1" ht="21" customHeight="1">
      <c r="A36" s="42" t="s">
        <v>159</v>
      </c>
      <c r="B36" s="37" t="s">
        <v>238</v>
      </c>
      <c r="C36" s="39" t="s">
        <v>25</v>
      </c>
      <c r="D36" s="39"/>
      <c r="E36" s="40">
        <f>E37</f>
        <v>115</v>
      </c>
      <c r="F36" s="40"/>
    </row>
    <row r="37" spans="1:6" s="1" customFormat="1" ht="60.75" customHeight="1">
      <c r="A37" s="42" t="s">
        <v>331</v>
      </c>
      <c r="B37" s="37" t="s">
        <v>238</v>
      </c>
      <c r="C37" s="39" t="s">
        <v>25</v>
      </c>
      <c r="D37" s="39" t="s">
        <v>179</v>
      </c>
      <c r="E37" s="40">
        <f>E38</f>
        <v>115</v>
      </c>
      <c r="F37" s="40"/>
    </row>
    <row r="38" spans="1:6" s="1" customFormat="1" ht="21" customHeight="1">
      <c r="A38" s="42" t="s">
        <v>172</v>
      </c>
      <c r="B38" s="37" t="s">
        <v>238</v>
      </c>
      <c r="C38" s="39" t="s">
        <v>25</v>
      </c>
      <c r="D38" s="39" t="s">
        <v>171</v>
      </c>
      <c r="E38" s="40">
        <f>47.6+67.4</f>
        <v>115</v>
      </c>
      <c r="F38" s="40"/>
    </row>
    <row r="39" spans="1:6" s="1" customFormat="1" ht="34.5" customHeight="1">
      <c r="A39" s="42" t="s">
        <v>68</v>
      </c>
      <c r="B39" s="37" t="s">
        <v>238</v>
      </c>
      <c r="C39" s="39" t="s">
        <v>26</v>
      </c>
      <c r="D39" s="39"/>
      <c r="E39" s="40">
        <f>E40+E44+E42</f>
        <v>492</v>
      </c>
      <c r="F39" s="40"/>
    </row>
    <row r="40" spans="1:6" s="1" customFormat="1" ht="21" customHeight="1">
      <c r="A40" s="42" t="s">
        <v>174</v>
      </c>
      <c r="B40" s="37" t="s">
        <v>238</v>
      </c>
      <c r="C40" s="39" t="s">
        <v>26</v>
      </c>
      <c r="D40" s="39" t="s">
        <v>173</v>
      </c>
      <c r="E40" s="40">
        <f>E41</f>
        <v>231.1</v>
      </c>
      <c r="F40" s="40"/>
    </row>
    <row r="41" spans="1:6" s="1" customFormat="1" ht="32.25" customHeight="1">
      <c r="A41" s="42" t="s">
        <v>176</v>
      </c>
      <c r="B41" s="37" t="s">
        <v>238</v>
      </c>
      <c r="C41" s="39" t="s">
        <v>26</v>
      </c>
      <c r="D41" s="39" t="s">
        <v>175</v>
      </c>
      <c r="E41" s="40">
        <f>200+31.1</f>
        <v>231.1</v>
      </c>
      <c r="F41" s="40"/>
    </row>
    <row r="42" spans="1:6" s="1" customFormat="1" ht="27" customHeight="1">
      <c r="A42" s="46" t="s">
        <v>42</v>
      </c>
      <c r="B42" s="37" t="s">
        <v>238</v>
      </c>
      <c r="C42" s="39" t="s">
        <v>26</v>
      </c>
      <c r="D42" s="39" t="s">
        <v>347</v>
      </c>
      <c r="E42" s="40">
        <f>E43</f>
        <v>255</v>
      </c>
      <c r="F42" s="40"/>
    </row>
    <row r="43" spans="1:6" s="1" customFormat="1" ht="32.25" customHeight="1">
      <c r="A43" s="51" t="s">
        <v>54</v>
      </c>
      <c r="B43" s="37" t="s">
        <v>238</v>
      </c>
      <c r="C43" s="39" t="s">
        <v>26</v>
      </c>
      <c r="D43" s="39" t="s">
        <v>53</v>
      </c>
      <c r="E43" s="40">
        <v>255</v>
      </c>
      <c r="F43" s="40"/>
    </row>
    <row r="44" spans="1:6" s="1" customFormat="1" ht="24" customHeight="1">
      <c r="A44" s="46" t="s">
        <v>178</v>
      </c>
      <c r="B44" s="37" t="s">
        <v>238</v>
      </c>
      <c r="C44" s="39" t="s">
        <v>26</v>
      </c>
      <c r="D44" s="39" t="s">
        <v>177</v>
      </c>
      <c r="E44" s="40">
        <f>E45</f>
        <v>5.9</v>
      </c>
      <c r="F44" s="40"/>
    </row>
    <row r="45" spans="1:6" s="1" customFormat="1" ht="24" customHeight="1">
      <c r="A45" s="46" t="s">
        <v>335</v>
      </c>
      <c r="B45" s="37" t="s">
        <v>238</v>
      </c>
      <c r="C45" s="39" t="s">
        <v>26</v>
      </c>
      <c r="D45" s="39" t="s">
        <v>334</v>
      </c>
      <c r="E45" s="40">
        <f>4+1.9</f>
        <v>5.9</v>
      </c>
      <c r="F45" s="40"/>
    </row>
    <row r="46" spans="1:6" s="1" customFormat="1" ht="45" customHeight="1">
      <c r="A46" s="46" t="s">
        <v>746</v>
      </c>
      <c r="B46" s="37" t="s">
        <v>238</v>
      </c>
      <c r="C46" s="39" t="s">
        <v>745</v>
      </c>
      <c r="D46" s="39"/>
      <c r="E46" s="40">
        <f>E47</f>
        <v>1323.9</v>
      </c>
      <c r="F46" s="40"/>
    </row>
    <row r="47" spans="1:6" s="1" customFormat="1" ht="61.5" customHeight="1">
      <c r="A47" s="42" t="s">
        <v>331</v>
      </c>
      <c r="B47" s="37" t="s">
        <v>238</v>
      </c>
      <c r="C47" s="39" t="s">
        <v>745</v>
      </c>
      <c r="D47" s="39" t="s">
        <v>179</v>
      </c>
      <c r="E47" s="40">
        <f>E48</f>
        <v>1323.9</v>
      </c>
      <c r="F47" s="40"/>
    </row>
    <row r="48" spans="1:6" s="1" customFormat="1" ht="24" customHeight="1">
      <c r="A48" s="42" t="s">
        <v>172</v>
      </c>
      <c r="B48" s="37" t="s">
        <v>238</v>
      </c>
      <c r="C48" s="39" t="s">
        <v>745</v>
      </c>
      <c r="D48" s="39" t="s">
        <v>171</v>
      </c>
      <c r="E48" s="40">
        <f>1301.9+22</f>
        <v>1323.9</v>
      </c>
      <c r="F48" s="40"/>
    </row>
    <row r="49" spans="1:8" s="1" customFormat="1" ht="47.25" customHeight="1">
      <c r="A49" s="49" t="s">
        <v>60</v>
      </c>
      <c r="B49" s="63" t="s">
        <v>109</v>
      </c>
      <c r="C49" s="63"/>
      <c r="D49" s="63"/>
      <c r="E49" s="13">
        <f>E54+E50</f>
        <v>292101.6</v>
      </c>
      <c r="F49" s="13">
        <f>F54</f>
        <v>0</v>
      </c>
      <c r="H49" s="100"/>
    </row>
    <row r="50" spans="1:6" s="1" customFormat="1" ht="78" customHeight="1">
      <c r="A50" s="36" t="s">
        <v>265</v>
      </c>
      <c r="B50" s="39" t="s">
        <v>109</v>
      </c>
      <c r="C50" s="37" t="s">
        <v>241</v>
      </c>
      <c r="D50" s="63"/>
      <c r="E50" s="40">
        <f>E51</f>
        <v>17780.600000000002</v>
      </c>
      <c r="F50" s="13"/>
    </row>
    <row r="51" spans="1:6" s="1" customFormat="1" ht="30.75" customHeight="1">
      <c r="A51" s="46" t="s">
        <v>240</v>
      </c>
      <c r="B51" s="39" t="s">
        <v>109</v>
      </c>
      <c r="C51" s="37" t="s">
        <v>239</v>
      </c>
      <c r="D51" s="63"/>
      <c r="E51" s="40">
        <f>E52</f>
        <v>17780.600000000002</v>
      </c>
      <c r="F51" s="13"/>
    </row>
    <row r="52" spans="1:6" s="1" customFormat="1" ht="26.25" customHeight="1">
      <c r="A52" s="46" t="s">
        <v>174</v>
      </c>
      <c r="B52" s="39" t="s">
        <v>109</v>
      </c>
      <c r="C52" s="37" t="s">
        <v>239</v>
      </c>
      <c r="D52" s="39" t="s">
        <v>173</v>
      </c>
      <c r="E52" s="40">
        <f>E53</f>
        <v>17780.600000000002</v>
      </c>
      <c r="F52" s="13"/>
    </row>
    <row r="53" spans="1:6" s="1" customFormat="1" ht="33" customHeight="1">
      <c r="A53" s="46" t="s">
        <v>176</v>
      </c>
      <c r="B53" s="39" t="s">
        <v>109</v>
      </c>
      <c r="C53" s="37" t="s">
        <v>239</v>
      </c>
      <c r="D53" s="39" t="s">
        <v>175</v>
      </c>
      <c r="E53" s="40">
        <f>693+21064.7-119-1500-348.1-2010</f>
        <v>17780.600000000002</v>
      </c>
      <c r="F53" s="13"/>
    </row>
    <row r="54" spans="1:6" s="1" customFormat="1" ht="46.5" customHeight="1">
      <c r="A54" s="42" t="s">
        <v>170</v>
      </c>
      <c r="B54" s="39" t="s">
        <v>109</v>
      </c>
      <c r="C54" s="37" t="s">
        <v>20</v>
      </c>
      <c r="D54" s="39"/>
      <c r="E54" s="40">
        <f>E60+E55</f>
        <v>274321</v>
      </c>
      <c r="F54" s="40">
        <f>F60+F55</f>
        <v>0</v>
      </c>
    </row>
    <row r="55" spans="1:6" s="1" customFormat="1" ht="24.75" customHeight="1">
      <c r="A55" s="36" t="s">
        <v>245</v>
      </c>
      <c r="B55" s="39" t="s">
        <v>109</v>
      </c>
      <c r="C55" s="37" t="str">
        <f>$C$54</f>
        <v>12 0 00 00000</v>
      </c>
      <c r="D55" s="39"/>
      <c r="E55" s="40">
        <f>E56</f>
        <v>525</v>
      </c>
      <c r="F55" s="40">
        <f>F56</f>
        <v>0</v>
      </c>
    </row>
    <row r="56" spans="1:6" s="1" customFormat="1" ht="48.75" customHeight="1">
      <c r="A56" s="36" t="s">
        <v>313</v>
      </c>
      <c r="B56" s="39" t="s">
        <v>109</v>
      </c>
      <c r="C56" s="37" t="s">
        <v>27</v>
      </c>
      <c r="D56" s="39"/>
      <c r="E56" s="40">
        <f>E57</f>
        <v>525</v>
      </c>
      <c r="F56" s="50"/>
    </row>
    <row r="57" spans="1:6" s="1" customFormat="1" ht="48.75" customHeight="1">
      <c r="A57" s="36" t="s">
        <v>502</v>
      </c>
      <c r="B57" s="39" t="s">
        <v>109</v>
      </c>
      <c r="C57" s="37" t="s">
        <v>28</v>
      </c>
      <c r="D57" s="39"/>
      <c r="E57" s="40">
        <f>E58</f>
        <v>525</v>
      </c>
      <c r="F57" s="50"/>
    </row>
    <row r="58" spans="1:6" s="1" customFormat="1" ht="22.5" customHeight="1">
      <c r="A58" s="46" t="s">
        <v>174</v>
      </c>
      <c r="B58" s="39" t="s">
        <v>109</v>
      </c>
      <c r="C58" s="37" t="s">
        <v>28</v>
      </c>
      <c r="D58" s="39" t="s">
        <v>173</v>
      </c>
      <c r="E58" s="40">
        <f>E59</f>
        <v>525</v>
      </c>
      <c r="F58" s="50"/>
    </row>
    <row r="59" spans="1:6" s="1" customFormat="1" ht="30" customHeight="1">
      <c r="A59" s="46" t="s">
        <v>176</v>
      </c>
      <c r="B59" s="39" t="s">
        <v>109</v>
      </c>
      <c r="C59" s="37" t="s">
        <v>28</v>
      </c>
      <c r="D59" s="39" t="s">
        <v>175</v>
      </c>
      <c r="E59" s="40">
        <f>450+75</f>
        <v>525</v>
      </c>
      <c r="F59" s="50"/>
    </row>
    <row r="60" spans="1:6" s="1" customFormat="1" ht="24" customHeight="1">
      <c r="A60" s="36" t="s">
        <v>245</v>
      </c>
      <c r="B60" s="39" t="s">
        <v>109</v>
      </c>
      <c r="C60" s="38" t="s">
        <v>20</v>
      </c>
      <c r="D60" s="39"/>
      <c r="E60" s="40">
        <f>E61</f>
        <v>273796</v>
      </c>
      <c r="F60" s="11"/>
    </row>
    <row r="61" spans="1:6" s="1" customFormat="1" ht="21" customHeight="1">
      <c r="A61" s="41" t="s">
        <v>41</v>
      </c>
      <c r="B61" s="39" t="s">
        <v>109</v>
      </c>
      <c r="C61" s="38" t="s">
        <v>21</v>
      </c>
      <c r="D61" s="39"/>
      <c r="E61" s="40">
        <f>E62+E77+E82</f>
        <v>273796</v>
      </c>
      <c r="F61" s="11"/>
    </row>
    <row r="62" spans="1:6" s="1" customFormat="1" ht="18.75" customHeight="1">
      <c r="A62" s="51" t="s">
        <v>116</v>
      </c>
      <c r="B62" s="39" t="s">
        <v>109</v>
      </c>
      <c r="C62" s="39" t="s">
        <v>29</v>
      </c>
      <c r="D62" s="39"/>
      <c r="E62" s="40">
        <f>E63+E66+E69+E74</f>
        <v>272493.7</v>
      </c>
      <c r="F62" s="40">
        <f>F63+F66+F69</f>
        <v>0</v>
      </c>
    </row>
    <row r="63" spans="1:6" s="1" customFormat="1" ht="19.5" customHeight="1">
      <c r="A63" s="46" t="s">
        <v>158</v>
      </c>
      <c r="B63" s="39" t="s">
        <v>109</v>
      </c>
      <c r="C63" s="39" t="s">
        <v>30</v>
      </c>
      <c r="D63" s="39"/>
      <c r="E63" s="40">
        <f>E64</f>
        <v>104468.70000000001</v>
      </c>
      <c r="F63" s="40"/>
    </row>
    <row r="64" spans="1:6" s="1" customFormat="1" ht="63.75" customHeight="1">
      <c r="A64" s="43" t="s">
        <v>331</v>
      </c>
      <c r="B64" s="39" t="s">
        <v>109</v>
      </c>
      <c r="C64" s="39" t="s">
        <v>30</v>
      </c>
      <c r="D64" s="39" t="s">
        <v>179</v>
      </c>
      <c r="E64" s="40">
        <f>E65</f>
        <v>104468.70000000001</v>
      </c>
      <c r="F64" s="40"/>
    </row>
    <row r="65" spans="1:6" s="1" customFormat="1" ht="24" customHeight="1">
      <c r="A65" s="43" t="s">
        <v>172</v>
      </c>
      <c r="B65" s="39" t="s">
        <v>109</v>
      </c>
      <c r="C65" s="39" t="s">
        <v>30</v>
      </c>
      <c r="D65" s="39" t="s">
        <v>171</v>
      </c>
      <c r="E65" s="40">
        <f>95286.8+7794+1235+2680.2+211.8-9.5-1-45.2-20.3-1333-19.8-82.4-115-1071.9-41</f>
        <v>104468.70000000001</v>
      </c>
      <c r="F65" s="40"/>
    </row>
    <row r="66" spans="1:6" s="1" customFormat="1" ht="21" customHeight="1">
      <c r="A66" s="46" t="s">
        <v>159</v>
      </c>
      <c r="B66" s="39" t="s">
        <v>109</v>
      </c>
      <c r="C66" s="39" t="s">
        <v>31</v>
      </c>
      <c r="D66" s="39"/>
      <c r="E66" s="40">
        <f>E67</f>
        <v>137358.80000000002</v>
      </c>
      <c r="F66" s="40"/>
    </row>
    <row r="67" spans="1:6" s="1" customFormat="1" ht="61.5" customHeight="1">
      <c r="A67" s="43" t="s">
        <v>331</v>
      </c>
      <c r="B67" s="39" t="s">
        <v>109</v>
      </c>
      <c r="C67" s="39" t="s">
        <v>31</v>
      </c>
      <c r="D67" s="39" t="s">
        <v>179</v>
      </c>
      <c r="E67" s="40">
        <f>E68</f>
        <v>137358.80000000002</v>
      </c>
      <c r="F67" s="40"/>
    </row>
    <row r="68" spans="1:6" s="1" customFormat="1" ht="21" customHeight="1">
      <c r="A68" s="43" t="s">
        <v>172</v>
      </c>
      <c r="B68" s="39" t="s">
        <v>109</v>
      </c>
      <c r="C68" s="39" t="s">
        <v>31</v>
      </c>
      <c r="D68" s="39" t="s">
        <v>171</v>
      </c>
      <c r="E68" s="40">
        <f>123289.3+200+6354.8+1086+6088.1+340.6</f>
        <v>137358.80000000002</v>
      </c>
      <c r="F68" s="40"/>
    </row>
    <row r="69" spans="1:6" s="1" customFormat="1" ht="33" customHeight="1">
      <c r="A69" s="46" t="s">
        <v>68</v>
      </c>
      <c r="B69" s="39" t="s">
        <v>109</v>
      </c>
      <c r="C69" s="39" t="s">
        <v>32</v>
      </c>
      <c r="D69" s="39"/>
      <c r="E69" s="40">
        <f>E70+E72</f>
        <v>30341.2</v>
      </c>
      <c r="F69" s="40"/>
    </row>
    <row r="70" spans="1:6" s="1" customFormat="1" ht="21.75" customHeight="1">
      <c r="A70" s="46" t="s">
        <v>174</v>
      </c>
      <c r="B70" s="39" t="s">
        <v>109</v>
      </c>
      <c r="C70" s="39" t="s">
        <v>32</v>
      </c>
      <c r="D70" s="39" t="s">
        <v>173</v>
      </c>
      <c r="E70" s="40">
        <f>E71</f>
        <v>30181.2</v>
      </c>
      <c r="F70" s="40"/>
    </row>
    <row r="71" spans="1:6" s="1" customFormat="1" ht="29.25" customHeight="1">
      <c r="A71" s="46" t="s">
        <v>176</v>
      </c>
      <c r="B71" s="39" t="s">
        <v>109</v>
      </c>
      <c r="C71" s="39" t="s">
        <v>32</v>
      </c>
      <c r="D71" s="39" t="s">
        <v>175</v>
      </c>
      <c r="E71" s="40">
        <f>450+28935.3-1200-100-34.5+130.4+2000</f>
        <v>30181.2</v>
      </c>
      <c r="F71" s="40"/>
    </row>
    <row r="72" spans="1:6" s="1" customFormat="1" ht="21.75" customHeight="1">
      <c r="A72" s="46" t="s">
        <v>178</v>
      </c>
      <c r="B72" s="39" t="s">
        <v>109</v>
      </c>
      <c r="C72" s="39" t="str">
        <f>$C$71</f>
        <v>12 5 00 04990</v>
      </c>
      <c r="D72" s="39" t="s">
        <v>177</v>
      </c>
      <c r="E72" s="40">
        <f>E73</f>
        <v>160</v>
      </c>
      <c r="F72" s="40"/>
    </row>
    <row r="73" spans="1:6" s="1" customFormat="1" ht="21.75" customHeight="1">
      <c r="A73" s="46" t="s">
        <v>335</v>
      </c>
      <c r="B73" s="39" t="s">
        <v>109</v>
      </c>
      <c r="C73" s="39" t="str">
        <f>$C$71</f>
        <v>12 5 00 04990</v>
      </c>
      <c r="D73" s="39" t="s">
        <v>334</v>
      </c>
      <c r="E73" s="40">
        <f>50+100+10</f>
        <v>160</v>
      </c>
      <c r="F73" s="40"/>
    </row>
    <row r="74" spans="1:6" s="1" customFormat="1" ht="20.25" customHeight="1">
      <c r="A74" s="46" t="s">
        <v>465</v>
      </c>
      <c r="B74" s="39" t="s">
        <v>109</v>
      </c>
      <c r="C74" s="39" t="s">
        <v>466</v>
      </c>
      <c r="D74" s="39"/>
      <c r="E74" s="40">
        <f>E75</f>
        <v>325</v>
      </c>
      <c r="F74" s="40"/>
    </row>
    <row r="75" spans="1:6" s="1" customFormat="1" ht="21.75" customHeight="1">
      <c r="A75" s="46" t="s">
        <v>174</v>
      </c>
      <c r="B75" s="39" t="s">
        <v>109</v>
      </c>
      <c r="C75" s="39" t="s">
        <v>466</v>
      </c>
      <c r="D75" s="39" t="s">
        <v>173</v>
      </c>
      <c r="E75" s="40">
        <f>E76</f>
        <v>325</v>
      </c>
      <c r="F75" s="40"/>
    </row>
    <row r="76" spans="1:6" s="1" customFormat="1" ht="34.5" customHeight="1">
      <c r="A76" s="46" t="s">
        <v>176</v>
      </c>
      <c r="B76" s="39" t="s">
        <v>109</v>
      </c>
      <c r="C76" s="39" t="s">
        <v>466</v>
      </c>
      <c r="D76" s="39" t="s">
        <v>175</v>
      </c>
      <c r="E76" s="40">
        <f>300+25</f>
        <v>325</v>
      </c>
      <c r="F76" s="40"/>
    </row>
    <row r="77" spans="1:6" s="1" customFormat="1" ht="76.5" customHeight="1">
      <c r="A77" s="58" t="s">
        <v>627</v>
      </c>
      <c r="B77" s="39" t="s">
        <v>109</v>
      </c>
      <c r="C77" s="48" t="s">
        <v>671</v>
      </c>
      <c r="D77" s="48"/>
      <c r="E77" s="53">
        <f>E80+E78</f>
        <v>804.2</v>
      </c>
      <c r="F77" s="53"/>
    </row>
    <row r="78" spans="1:6" s="1" customFormat="1" ht="62.25" customHeight="1">
      <c r="A78" s="43" t="s">
        <v>331</v>
      </c>
      <c r="B78" s="39" t="s">
        <v>109</v>
      </c>
      <c r="C78" s="48" t="s">
        <v>671</v>
      </c>
      <c r="D78" s="48" t="s">
        <v>179</v>
      </c>
      <c r="E78" s="53">
        <f>E79</f>
        <v>670.1</v>
      </c>
      <c r="F78" s="53"/>
    </row>
    <row r="79" spans="1:6" s="1" customFormat="1" ht="21" customHeight="1">
      <c r="A79" s="43" t="s">
        <v>172</v>
      </c>
      <c r="B79" s="39" t="s">
        <v>109</v>
      </c>
      <c r="C79" s="48" t="s">
        <v>671</v>
      </c>
      <c r="D79" s="48" t="s">
        <v>171</v>
      </c>
      <c r="E79" s="53">
        <f>670.1</f>
        <v>670.1</v>
      </c>
      <c r="F79" s="53"/>
    </row>
    <row r="80" spans="1:6" s="1" customFormat="1" ht="20.25" customHeight="1">
      <c r="A80" s="46" t="s">
        <v>174</v>
      </c>
      <c r="B80" s="39" t="s">
        <v>109</v>
      </c>
      <c r="C80" s="48" t="s">
        <v>671</v>
      </c>
      <c r="D80" s="48" t="s">
        <v>173</v>
      </c>
      <c r="E80" s="53">
        <f>E81</f>
        <v>134.1</v>
      </c>
      <c r="F80" s="53"/>
    </row>
    <row r="81" spans="1:6" s="1" customFormat="1" ht="31.5" customHeight="1">
      <c r="A81" s="46" t="s">
        <v>176</v>
      </c>
      <c r="B81" s="39" t="s">
        <v>109</v>
      </c>
      <c r="C81" s="48" t="s">
        <v>671</v>
      </c>
      <c r="D81" s="48" t="s">
        <v>175</v>
      </c>
      <c r="E81" s="53">
        <f>134.1</f>
        <v>134.1</v>
      </c>
      <c r="F81" s="53"/>
    </row>
    <row r="82" spans="1:6" s="1" customFormat="1" ht="63.75" customHeight="1">
      <c r="A82" s="58" t="s">
        <v>621</v>
      </c>
      <c r="B82" s="47" t="s">
        <v>109</v>
      </c>
      <c r="C82" s="47" t="s">
        <v>558</v>
      </c>
      <c r="D82" s="47"/>
      <c r="E82" s="50">
        <f>E83+E85</f>
        <v>498.0999999999999</v>
      </c>
      <c r="F82" s="115"/>
    </row>
    <row r="83" spans="1:6" s="1" customFormat="1" ht="63.75" customHeight="1">
      <c r="A83" s="58" t="s">
        <v>331</v>
      </c>
      <c r="B83" s="47" t="s">
        <v>109</v>
      </c>
      <c r="C83" s="47" t="s">
        <v>558</v>
      </c>
      <c r="D83" s="47" t="s">
        <v>179</v>
      </c>
      <c r="E83" s="50">
        <f>E84</f>
        <v>421.49999999999994</v>
      </c>
      <c r="F83" s="115"/>
    </row>
    <row r="84" spans="1:6" s="1" customFormat="1" ht="23.25" customHeight="1">
      <c r="A84" s="58" t="s">
        <v>172</v>
      </c>
      <c r="B84" s="47" t="s">
        <v>109</v>
      </c>
      <c r="C84" s="47" t="s">
        <v>558</v>
      </c>
      <c r="D84" s="47" t="s">
        <v>171</v>
      </c>
      <c r="E84" s="50">
        <f>E104+E112+E94+E89+E117+E109+E99</f>
        <v>421.49999999999994</v>
      </c>
      <c r="F84" s="115"/>
    </row>
    <row r="85" spans="1:6" s="1" customFormat="1" ht="21" customHeight="1">
      <c r="A85" s="58" t="s">
        <v>174</v>
      </c>
      <c r="B85" s="47" t="s">
        <v>109</v>
      </c>
      <c r="C85" s="47" t="s">
        <v>558</v>
      </c>
      <c r="D85" s="47" t="s">
        <v>173</v>
      </c>
      <c r="E85" s="50">
        <f>E86</f>
        <v>76.6</v>
      </c>
      <c r="F85" s="115"/>
    </row>
    <row r="86" spans="1:6" s="1" customFormat="1" ht="31.5" customHeight="1">
      <c r="A86" s="58" t="s">
        <v>176</v>
      </c>
      <c r="B86" s="47" t="s">
        <v>109</v>
      </c>
      <c r="C86" s="47" t="s">
        <v>558</v>
      </c>
      <c r="D86" s="47" t="s">
        <v>175</v>
      </c>
      <c r="E86" s="50">
        <f>E96+E91+E114+E101+E106</f>
        <v>76.6</v>
      </c>
      <c r="F86" s="115"/>
    </row>
    <row r="87" spans="1:6" s="1" customFormat="1" ht="75.75" customHeight="1">
      <c r="A87" s="58" t="s">
        <v>625</v>
      </c>
      <c r="B87" s="47" t="s">
        <v>109</v>
      </c>
      <c r="C87" s="47" t="s">
        <v>672</v>
      </c>
      <c r="D87" s="47"/>
      <c r="E87" s="50">
        <f>E88+E90</f>
        <v>123.89999999999999</v>
      </c>
      <c r="F87" s="83"/>
    </row>
    <row r="88" spans="1:6" s="1" customFormat="1" ht="61.5" customHeight="1">
      <c r="A88" s="58" t="s">
        <v>331</v>
      </c>
      <c r="B88" s="47" t="s">
        <v>109</v>
      </c>
      <c r="C88" s="47" t="s">
        <v>672</v>
      </c>
      <c r="D88" s="47" t="s">
        <v>179</v>
      </c>
      <c r="E88" s="50">
        <f>E89</f>
        <v>103.3</v>
      </c>
      <c r="F88" s="83"/>
    </row>
    <row r="89" spans="1:6" s="1" customFormat="1" ht="23.25" customHeight="1">
      <c r="A89" s="58" t="s">
        <v>172</v>
      </c>
      <c r="B89" s="47" t="s">
        <v>109</v>
      </c>
      <c r="C89" s="47" t="s">
        <v>672</v>
      </c>
      <c r="D89" s="47" t="s">
        <v>171</v>
      </c>
      <c r="E89" s="50">
        <f>103.3</f>
        <v>103.3</v>
      </c>
      <c r="F89" s="83"/>
    </row>
    <row r="90" spans="1:6" s="1" customFormat="1" ht="18.75" customHeight="1">
      <c r="A90" s="58" t="s">
        <v>174</v>
      </c>
      <c r="B90" s="47" t="s">
        <v>109</v>
      </c>
      <c r="C90" s="47" t="s">
        <v>672</v>
      </c>
      <c r="D90" s="47" t="s">
        <v>173</v>
      </c>
      <c r="E90" s="50">
        <f>E91</f>
        <v>20.599999999999998</v>
      </c>
      <c r="F90" s="83"/>
    </row>
    <row r="91" spans="1:6" s="1" customFormat="1" ht="31.5" customHeight="1">
      <c r="A91" s="58" t="s">
        <v>176</v>
      </c>
      <c r="B91" s="47" t="s">
        <v>109</v>
      </c>
      <c r="C91" s="47" t="s">
        <v>672</v>
      </c>
      <c r="D91" s="47" t="s">
        <v>175</v>
      </c>
      <c r="E91" s="50">
        <f>2.9+17.7</f>
        <v>20.599999999999998</v>
      </c>
      <c r="F91" s="83"/>
    </row>
    <row r="92" spans="1:6" s="1" customFormat="1" ht="73.5" customHeight="1">
      <c r="A92" s="58" t="s">
        <v>624</v>
      </c>
      <c r="B92" s="47" t="s">
        <v>109</v>
      </c>
      <c r="C92" s="47" t="s">
        <v>673</v>
      </c>
      <c r="D92" s="47"/>
      <c r="E92" s="50">
        <f>E93+E95</f>
        <v>123.9</v>
      </c>
      <c r="F92" s="83"/>
    </row>
    <row r="93" spans="1:6" s="1" customFormat="1" ht="60.75" customHeight="1">
      <c r="A93" s="58" t="s">
        <v>331</v>
      </c>
      <c r="B93" s="47" t="s">
        <v>109</v>
      </c>
      <c r="C93" s="47" t="s">
        <v>673</v>
      </c>
      <c r="D93" s="47" t="s">
        <v>179</v>
      </c>
      <c r="E93" s="50">
        <f>E94</f>
        <v>103.3</v>
      </c>
      <c r="F93" s="83"/>
    </row>
    <row r="94" spans="1:6" s="1" customFormat="1" ht="24.75" customHeight="1">
      <c r="A94" s="58" t="s">
        <v>172</v>
      </c>
      <c r="B94" s="47" t="s">
        <v>109</v>
      </c>
      <c r="C94" s="47" t="s">
        <v>673</v>
      </c>
      <c r="D94" s="47" t="s">
        <v>171</v>
      </c>
      <c r="E94" s="50">
        <f>103.3</f>
        <v>103.3</v>
      </c>
      <c r="F94" s="83"/>
    </row>
    <row r="95" spans="1:6" s="1" customFormat="1" ht="25.5" customHeight="1">
      <c r="A95" s="58" t="s">
        <v>174</v>
      </c>
      <c r="B95" s="47" t="s">
        <v>109</v>
      </c>
      <c r="C95" s="47" t="s">
        <v>673</v>
      </c>
      <c r="D95" s="47" t="s">
        <v>173</v>
      </c>
      <c r="E95" s="50">
        <f>E96</f>
        <v>20.6</v>
      </c>
      <c r="F95" s="83"/>
    </row>
    <row r="96" spans="1:6" s="1" customFormat="1" ht="31.5" customHeight="1">
      <c r="A96" s="58" t="s">
        <v>176</v>
      </c>
      <c r="B96" s="47" t="s">
        <v>109</v>
      </c>
      <c r="C96" s="47" t="s">
        <v>673</v>
      </c>
      <c r="D96" s="47" t="s">
        <v>175</v>
      </c>
      <c r="E96" s="50">
        <f>20.6</f>
        <v>20.6</v>
      </c>
      <c r="F96" s="83"/>
    </row>
    <row r="97" spans="1:6" s="1" customFormat="1" ht="74.25" customHeight="1">
      <c r="A97" s="58" t="s">
        <v>693</v>
      </c>
      <c r="B97" s="47" t="s">
        <v>109</v>
      </c>
      <c r="C97" s="47" t="s">
        <v>694</v>
      </c>
      <c r="D97" s="47"/>
      <c r="E97" s="50">
        <f>E98+E100</f>
        <v>123.9</v>
      </c>
      <c r="F97" s="83"/>
    </row>
    <row r="98" spans="1:6" s="1" customFormat="1" ht="31.5" customHeight="1">
      <c r="A98" s="58" t="s">
        <v>331</v>
      </c>
      <c r="B98" s="47" t="s">
        <v>109</v>
      </c>
      <c r="C98" s="47" t="s">
        <v>694</v>
      </c>
      <c r="D98" s="47" t="s">
        <v>179</v>
      </c>
      <c r="E98" s="50">
        <f>E99</f>
        <v>103.2</v>
      </c>
      <c r="F98" s="83"/>
    </row>
    <row r="99" spans="1:6" s="1" customFormat="1" ht="27" customHeight="1">
      <c r="A99" s="58" t="s">
        <v>172</v>
      </c>
      <c r="B99" s="47" t="s">
        <v>109</v>
      </c>
      <c r="C99" s="47" t="s">
        <v>694</v>
      </c>
      <c r="D99" s="47" t="s">
        <v>171</v>
      </c>
      <c r="E99" s="50">
        <f>103.2</f>
        <v>103.2</v>
      </c>
      <c r="F99" s="83"/>
    </row>
    <row r="100" spans="1:6" s="1" customFormat="1" ht="22.5" customHeight="1">
      <c r="A100" s="58" t="s">
        <v>174</v>
      </c>
      <c r="B100" s="47" t="s">
        <v>109</v>
      </c>
      <c r="C100" s="47" t="s">
        <v>694</v>
      </c>
      <c r="D100" s="47" t="s">
        <v>173</v>
      </c>
      <c r="E100" s="50">
        <f>E101</f>
        <v>20.7</v>
      </c>
      <c r="F100" s="83"/>
    </row>
    <row r="101" spans="1:6" s="1" customFormat="1" ht="31.5" customHeight="1">
      <c r="A101" s="58" t="s">
        <v>176</v>
      </c>
      <c r="B101" s="47" t="s">
        <v>109</v>
      </c>
      <c r="C101" s="47" t="s">
        <v>694</v>
      </c>
      <c r="D101" s="47" t="s">
        <v>175</v>
      </c>
      <c r="E101" s="50">
        <v>20.7</v>
      </c>
      <c r="F101" s="83"/>
    </row>
    <row r="102" spans="1:6" s="1" customFormat="1" ht="74.25" customHeight="1">
      <c r="A102" s="58" t="s">
        <v>622</v>
      </c>
      <c r="B102" s="47" t="s">
        <v>109</v>
      </c>
      <c r="C102" s="47" t="s">
        <v>674</v>
      </c>
      <c r="D102" s="47"/>
      <c r="E102" s="50">
        <f>E103+E105</f>
        <v>44.199999999999996</v>
      </c>
      <c r="F102" s="83"/>
    </row>
    <row r="103" spans="1:6" s="1" customFormat="1" ht="63.75" customHeight="1">
      <c r="A103" s="58" t="s">
        <v>331</v>
      </c>
      <c r="B103" s="47" t="s">
        <v>109</v>
      </c>
      <c r="C103" s="47" t="s">
        <v>674</v>
      </c>
      <c r="D103" s="47" t="s">
        <v>179</v>
      </c>
      <c r="E103" s="50">
        <f>E104</f>
        <v>36.9</v>
      </c>
      <c r="F103" s="83"/>
    </row>
    <row r="104" spans="1:6" s="1" customFormat="1" ht="26.25" customHeight="1">
      <c r="A104" s="58" t="s">
        <v>172</v>
      </c>
      <c r="B104" s="47" t="s">
        <v>109</v>
      </c>
      <c r="C104" s="47" t="s">
        <v>674</v>
      </c>
      <c r="D104" s="47" t="s">
        <v>171</v>
      </c>
      <c r="E104" s="50">
        <f>36.9</f>
        <v>36.9</v>
      </c>
      <c r="F104" s="83"/>
    </row>
    <row r="105" spans="1:6" s="1" customFormat="1" ht="26.25" customHeight="1">
      <c r="A105" s="58" t="s">
        <v>174</v>
      </c>
      <c r="B105" s="47" t="s">
        <v>109</v>
      </c>
      <c r="C105" s="47" t="s">
        <v>674</v>
      </c>
      <c r="D105" s="47" t="s">
        <v>173</v>
      </c>
      <c r="E105" s="50">
        <f>E106</f>
        <v>7.3</v>
      </c>
      <c r="F105" s="83"/>
    </row>
    <row r="106" spans="1:6" s="1" customFormat="1" ht="32.25" customHeight="1">
      <c r="A106" s="58" t="s">
        <v>176</v>
      </c>
      <c r="B106" s="47" t="s">
        <v>109</v>
      </c>
      <c r="C106" s="47" t="s">
        <v>674</v>
      </c>
      <c r="D106" s="47" t="s">
        <v>175</v>
      </c>
      <c r="E106" s="50">
        <v>7.3</v>
      </c>
      <c r="F106" s="83"/>
    </row>
    <row r="107" spans="1:6" s="1" customFormat="1" ht="78" customHeight="1">
      <c r="A107" s="58" t="s">
        <v>692</v>
      </c>
      <c r="B107" s="47" t="s">
        <v>109</v>
      </c>
      <c r="C107" s="47" t="s">
        <v>691</v>
      </c>
      <c r="D107" s="47"/>
      <c r="E107" s="50">
        <f>E108</f>
        <v>1</v>
      </c>
      <c r="F107" s="83"/>
    </row>
    <row r="108" spans="1:6" s="1" customFormat="1" ht="60" customHeight="1">
      <c r="A108" s="58" t="s">
        <v>331</v>
      </c>
      <c r="B108" s="47" t="s">
        <v>109</v>
      </c>
      <c r="C108" s="47" t="s">
        <v>691</v>
      </c>
      <c r="D108" s="47" t="s">
        <v>179</v>
      </c>
      <c r="E108" s="50">
        <f>E109</f>
        <v>1</v>
      </c>
      <c r="F108" s="83"/>
    </row>
    <row r="109" spans="1:6" s="1" customFormat="1" ht="19.5" customHeight="1">
      <c r="A109" s="58" t="s">
        <v>172</v>
      </c>
      <c r="B109" s="47" t="s">
        <v>109</v>
      </c>
      <c r="C109" s="47" t="s">
        <v>691</v>
      </c>
      <c r="D109" s="47" t="s">
        <v>171</v>
      </c>
      <c r="E109" s="50">
        <f>1</f>
        <v>1</v>
      </c>
      <c r="F109" s="83"/>
    </row>
    <row r="110" spans="1:6" s="1" customFormat="1" ht="74.25" customHeight="1">
      <c r="A110" s="58" t="s">
        <v>623</v>
      </c>
      <c r="B110" s="47" t="s">
        <v>109</v>
      </c>
      <c r="C110" s="47" t="s">
        <v>675</v>
      </c>
      <c r="D110" s="47"/>
      <c r="E110" s="50">
        <f>E111+E113</f>
        <v>44.3</v>
      </c>
      <c r="F110" s="83"/>
    </row>
    <row r="111" spans="1:6" s="1" customFormat="1" ht="31.5" customHeight="1">
      <c r="A111" s="58" t="s">
        <v>331</v>
      </c>
      <c r="B111" s="47" t="s">
        <v>109</v>
      </c>
      <c r="C111" s="47" t="s">
        <v>675</v>
      </c>
      <c r="D111" s="47" t="s">
        <v>179</v>
      </c>
      <c r="E111" s="50">
        <f>E112</f>
        <v>36.9</v>
      </c>
      <c r="F111" s="83"/>
    </row>
    <row r="112" spans="1:6" s="1" customFormat="1" ht="23.25" customHeight="1">
      <c r="A112" s="58" t="s">
        <v>172</v>
      </c>
      <c r="B112" s="47" t="s">
        <v>109</v>
      </c>
      <c r="C112" s="47" t="s">
        <v>675</v>
      </c>
      <c r="D112" s="47" t="s">
        <v>171</v>
      </c>
      <c r="E112" s="50">
        <v>36.9</v>
      </c>
      <c r="F112" s="83"/>
    </row>
    <row r="113" spans="1:6" s="1" customFormat="1" ht="23.25" customHeight="1">
      <c r="A113" s="58" t="s">
        <v>174</v>
      </c>
      <c r="B113" s="47" t="s">
        <v>109</v>
      </c>
      <c r="C113" s="47" t="s">
        <v>675</v>
      </c>
      <c r="D113" s="47" t="s">
        <v>173</v>
      </c>
      <c r="E113" s="50">
        <f>E114</f>
        <v>7.4</v>
      </c>
      <c r="F113" s="83"/>
    </row>
    <row r="114" spans="1:6" s="1" customFormat="1" ht="31.5" customHeight="1">
      <c r="A114" s="58" t="s">
        <v>176</v>
      </c>
      <c r="B114" s="47" t="s">
        <v>109</v>
      </c>
      <c r="C114" s="47" t="s">
        <v>675</v>
      </c>
      <c r="D114" s="47" t="s">
        <v>175</v>
      </c>
      <c r="E114" s="50">
        <f>7.4</f>
        <v>7.4</v>
      </c>
      <c r="F114" s="83"/>
    </row>
    <row r="115" spans="1:6" s="1" customFormat="1" ht="76.5" customHeight="1">
      <c r="A115" s="58" t="s">
        <v>629</v>
      </c>
      <c r="B115" s="47" t="s">
        <v>109</v>
      </c>
      <c r="C115" s="47" t="s">
        <v>676</v>
      </c>
      <c r="D115" s="47"/>
      <c r="E115" s="50">
        <f>E116</f>
        <v>36.9</v>
      </c>
      <c r="F115" s="83"/>
    </row>
    <row r="116" spans="1:6" s="1" customFormat="1" ht="64.5" customHeight="1">
      <c r="A116" s="58" t="s">
        <v>331</v>
      </c>
      <c r="B116" s="47" t="s">
        <v>109</v>
      </c>
      <c r="C116" s="47" t="s">
        <v>676</v>
      </c>
      <c r="D116" s="47" t="s">
        <v>179</v>
      </c>
      <c r="E116" s="50">
        <f>E117</f>
        <v>36.9</v>
      </c>
      <c r="F116" s="83"/>
    </row>
    <row r="117" spans="1:6" s="1" customFormat="1" ht="24" customHeight="1">
      <c r="A117" s="58" t="s">
        <v>172</v>
      </c>
      <c r="B117" s="47" t="s">
        <v>109</v>
      </c>
      <c r="C117" s="47" t="s">
        <v>676</v>
      </c>
      <c r="D117" s="47" t="s">
        <v>171</v>
      </c>
      <c r="E117" s="50">
        <v>36.9</v>
      </c>
      <c r="F117" s="83"/>
    </row>
    <row r="118" spans="1:6" s="1" customFormat="1" ht="44.25" customHeight="1">
      <c r="A118" s="54" t="s">
        <v>63</v>
      </c>
      <c r="B118" s="63" t="s">
        <v>64</v>
      </c>
      <c r="C118" s="63"/>
      <c r="D118" s="63"/>
      <c r="E118" s="13">
        <f>E165+E123+E119</f>
        <v>56853.200000000004</v>
      </c>
      <c r="F118" s="13">
        <f>F165</f>
        <v>0</v>
      </c>
    </row>
    <row r="119" spans="1:6" s="1" customFormat="1" ht="78.75" customHeight="1">
      <c r="A119" s="36" t="s">
        <v>265</v>
      </c>
      <c r="B119" s="39" t="s">
        <v>64</v>
      </c>
      <c r="C119" s="37" t="s">
        <v>241</v>
      </c>
      <c r="D119" s="63"/>
      <c r="E119" s="40">
        <f>E120</f>
        <v>2739.8</v>
      </c>
      <c r="F119" s="13"/>
    </row>
    <row r="120" spans="1:6" s="1" customFormat="1" ht="35.25" customHeight="1">
      <c r="A120" s="46" t="s">
        <v>240</v>
      </c>
      <c r="B120" s="39" t="s">
        <v>64</v>
      </c>
      <c r="C120" s="37" t="s">
        <v>239</v>
      </c>
      <c r="D120" s="63"/>
      <c r="E120" s="40">
        <f>E121</f>
        <v>2739.8</v>
      </c>
      <c r="F120" s="13"/>
    </row>
    <row r="121" spans="1:6" s="1" customFormat="1" ht="29.25" customHeight="1">
      <c r="A121" s="46" t="s">
        <v>174</v>
      </c>
      <c r="B121" s="39" t="s">
        <v>64</v>
      </c>
      <c r="C121" s="37" t="s">
        <v>239</v>
      </c>
      <c r="D121" s="39" t="s">
        <v>173</v>
      </c>
      <c r="E121" s="40">
        <f>E122</f>
        <v>2739.8</v>
      </c>
      <c r="F121" s="13"/>
    </row>
    <row r="122" spans="1:6" s="1" customFormat="1" ht="33" customHeight="1">
      <c r="A122" s="46" t="s">
        <v>176</v>
      </c>
      <c r="B122" s="39" t="s">
        <v>64</v>
      </c>
      <c r="C122" s="37" t="s">
        <v>239</v>
      </c>
      <c r="D122" s="39" t="s">
        <v>175</v>
      </c>
      <c r="E122" s="40">
        <f>1255+490.3+162+445+37.5+350</f>
        <v>2739.8</v>
      </c>
      <c r="F122" s="13"/>
    </row>
    <row r="123" spans="1:6" s="1" customFormat="1" ht="21" customHeight="1">
      <c r="A123" s="36" t="s">
        <v>245</v>
      </c>
      <c r="B123" s="39" t="s">
        <v>64</v>
      </c>
      <c r="C123" s="37" t="s">
        <v>20</v>
      </c>
      <c r="D123" s="39"/>
      <c r="E123" s="40">
        <f>E124+E128</f>
        <v>40386.6</v>
      </c>
      <c r="F123" s="40">
        <f>F165</f>
        <v>0</v>
      </c>
    </row>
    <row r="124" spans="1:6" s="1" customFormat="1" ht="46.5" customHeight="1">
      <c r="A124" s="36" t="s">
        <v>313</v>
      </c>
      <c r="B124" s="39" t="s">
        <v>64</v>
      </c>
      <c r="C124" s="37" t="s">
        <v>27</v>
      </c>
      <c r="D124" s="39"/>
      <c r="E124" s="40">
        <f>E125</f>
        <v>220</v>
      </c>
      <c r="F124" s="40"/>
    </row>
    <row r="125" spans="1:6" s="1" customFormat="1" ht="46.5" customHeight="1">
      <c r="A125" s="36" t="s">
        <v>502</v>
      </c>
      <c r="B125" s="39" t="s">
        <v>64</v>
      </c>
      <c r="C125" s="37" t="s">
        <v>28</v>
      </c>
      <c r="D125" s="39"/>
      <c r="E125" s="40">
        <f>E126</f>
        <v>220</v>
      </c>
      <c r="F125" s="40"/>
    </row>
    <row r="126" spans="1:6" s="1" customFormat="1" ht="21" customHeight="1">
      <c r="A126" s="46" t="s">
        <v>174</v>
      </c>
      <c r="B126" s="39" t="s">
        <v>64</v>
      </c>
      <c r="C126" s="37" t="s">
        <v>28</v>
      </c>
      <c r="D126" s="39" t="s">
        <v>173</v>
      </c>
      <c r="E126" s="40">
        <f>E127</f>
        <v>220</v>
      </c>
      <c r="F126" s="40"/>
    </row>
    <row r="127" spans="1:6" s="1" customFormat="1" ht="33" customHeight="1">
      <c r="A127" s="46" t="s">
        <v>176</v>
      </c>
      <c r="B127" s="39" t="s">
        <v>64</v>
      </c>
      <c r="C127" s="37" t="s">
        <v>28</v>
      </c>
      <c r="D127" s="39" t="s">
        <v>175</v>
      </c>
      <c r="E127" s="40">
        <f>60+100+60</f>
        <v>220</v>
      </c>
      <c r="F127" s="40"/>
    </row>
    <row r="128" spans="1:6" s="1" customFormat="1" ht="21" customHeight="1">
      <c r="A128" s="41" t="s">
        <v>41</v>
      </c>
      <c r="B128" s="39" t="s">
        <v>64</v>
      </c>
      <c r="C128" s="37" t="s">
        <v>21</v>
      </c>
      <c r="D128" s="39"/>
      <c r="E128" s="40">
        <f>E129+E141</f>
        <v>40166.6</v>
      </c>
      <c r="F128" s="40"/>
    </row>
    <row r="129" spans="1:6" s="1" customFormat="1" ht="21.75" customHeight="1">
      <c r="A129" s="41" t="s">
        <v>116</v>
      </c>
      <c r="B129" s="39" t="s">
        <v>64</v>
      </c>
      <c r="C129" s="39" t="s">
        <v>29</v>
      </c>
      <c r="D129" s="39"/>
      <c r="E129" s="40">
        <f>E130+E133+E136</f>
        <v>38156.5</v>
      </c>
      <c r="F129" s="40"/>
    </row>
    <row r="130" spans="1:6" s="1" customFormat="1" ht="24.75" customHeight="1">
      <c r="A130" s="46" t="s">
        <v>158</v>
      </c>
      <c r="B130" s="39" t="s">
        <v>64</v>
      </c>
      <c r="C130" s="39" t="s">
        <v>30</v>
      </c>
      <c r="D130" s="39"/>
      <c r="E130" s="40">
        <f>E131</f>
        <v>14527.7</v>
      </c>
      <c r="F130" s="40"/>
    </row>
    <row r="131" spans="1:6" s="1" customFormat="1" ht="63.75" customHeight="1">
      <c r="A131" s="43" t="s">
        <v>331</v>
      </c>
      <c r="B131" s="39" t="s">
        <v>64</v>
      </c>
      <c r="C131" s="39" t="s">
        <v>30</v>
      </c>
      <c r="D131" s="39" t="s">
        <v>179</v>
      </c>
      <c r="E131" s="40">
        <f>E132</f>
        <v>14527.7</v>
      </c>
      <c r="F131" s="40"/>
    </row>
    <row r="132" spans="1:6" s="1" customFormat="1" ht="22.5" customHeight="1">
      <c r="A132" s="43" t="s">
        <v>172</v>
      </c>
      <c r="B132" s="39" t="s">
        <v>64</v>
      </c>
      <c r="C132" s="39" t="s">
        <v>30</v>
      </c>
      <c r="D132" s="39" t="s">
        <v>171</v>
      </c>
      <c r="E132" s="40">
        <f>14527.7</f>
        <v>14527.7</v>
      </c>
      <c r="F132" s="40"/>
    </row>
    <row r="133" spans="1:6" s="1" customFormat="1" ht="24" customHeight="1">
      <c r="A133" s="46" t="s">
        <v>159</v>
      </c>
      <c r="B133" s="39" t="s">
        <v>64</v>
      </c>
      <c r="C133" s="39" t="s">
        <v>31</v>
      </c>
      <c r="D133" s="39"/>
      <c r="E133" s="40">
        <f>E134</f>
        <v>20620.300000000003</v>
      </c>
      <c r="F133" s="40"/>
    </row>
    <row r="134" spans="1:6" s="1" customFormat="1" ht="61.5" customHeight="1">
      <c r="A134" s="43" t="s">
        <v>331</v>
      </c>
      <c r="B134" s="39" t="s">
        <v>64</v>
      </c>
      <c r="C134" s="39" t="s">
        <v>31</v>
      </c>
      <c r="D134" s="39" t="s">
        <v>179</v>
      </c>
      <c r="E134" s="40">
        <f>E135</f>
        <v>20620.300000000003</v>
      </c>
      <c r="F134" s="40"/>
    </row>
    <row r="135" spans="1:6" s="1" customFormat="1" ht="19.5" customHeight="1">
      <c r="A135" s="43" t="s">
        <v>172</v>
      </c>
      <c r="B135" s="39" t="s">
        <v>64</v>
      </c>
      <c r="C135" s="39" t="s">
        <v>31</v>
      </c>
      <c r="D135" s="39" t="s">
        <v>171</v>
      </c>
      <c r="E135" s="40">
        <f>20304.4+315.9</f>
        <v>20620.300000000003</v>
      </c>
      <c r="F135" s="40"/>
    </row>
    <row r="136" spans="1:6" s="1" customFormat="1" ht="30.75" customHeight="1">
      <c r="A136" s="46" t="s">
        <v>68</v>
      </c>
      <c r="B136" s="39" t="s">
        <v>64</v>
      </c>
      <c r="C136" s="39" t="s">
        <v>32</v>
      </c>
      <c r="D136" s="39"/>
      <c r="E136" s="40">
        <f>E137+E139</f>
        <v>3008.5</v>
      </c>
      <c r="F136" s="40"/>
    </row>
    <row r="137" spans="1:6" s="1" customFormat="1" ht="20.25" customHeight="1">
      <c r="A137" s="46" t="s">
        <v>174</v>
      </c>
      <c r="B137" s="39" t="s">
        <v>64</v>
      </c>
      <c r="C137" s="39" t="s">
        <v>32</v>
      </c>
      <c r="D137" s="39" t="s">
        <v>173</v>
      </c>
      <c r="E137" s="40">
        <f>E138</f>
        <v>2968.5</v>
      </c>
      <c r="F137" s="40"/>
    </row>
    <row r="138" spans="1:6" s="1" customFormat="1" ht="33.75" customHeight="1">
      <c r="A138" s="36" t="s">
        <v>176</v>
      </c>
      <c r="B138" s="39" t="s">
        <v>64</v>
      </c>
      <c r="C138" s="39" t="s">
        <v>32</v>
      </c>
      <c r="D138" s="39" t="s">
        <v>175</v>
      </c>
      <c r="E138" s="40">
        <f>2526-445-37.5+925</f>
        <v>2968.5</v>
      </c>
      <c r="F138" s="40"/>
    </row>
    <row r="139" spans="1:6" s="1" customFormat="1" ht="23.25" customHeight="1">
      <c r="A139" s="58" t="s">
        <v>178</v>
      </c>
      <c r="B139" s="39" t="s">
        <v>64</v>
      </c>
      <c r="C139" s="39" t="s">
        <v>32</v>
      </c>
      <c r="D139" s="39" t="s">
        <v>177</v>
      </c>
      <c r="E139" s="40">
        <f>E140</f>
        <v>40</v>
      </c>
      <c r="F139" s="40"/>
    </row>
    <row r="140" spans="1:6" s="1" customFormat="1" ht="18" customHeight="1">
      <c r="A140" s="46" t="s">
        <v>335</v>
      </c>
      <c r="B140" s="39" t="s">
        <v>64</v>
      </c>
      <c r="C140" s="39" t="s">
        <v>32</v>
      </c>
      <c r="D140" s="39" t="s">
        <v>334</v>
      </c>
      <c r="E140" s="40">
        <f>40</f>
        <v>40</v>
      </c>
      <c r="F140" s="40"/>
    </row>
    <row r="141" spans="1:6" s="1" customFormat="1" ht="90.75" customHeight="1">
      <c r="A141" s="58" t="s">
        <v>609</v>
      </c>
      <c r="B141" s="39" t="s">
        <v>64</v>
      </c>
      <c r="C141" s="39" t="s">
        <v>610</v>
      </c>
      <c r="D141" s="39"/>
      <c r="E141" s="40">
        <f>E142</f>
        <v>2010.1</v>
      </c>
      <c r="F141" s="40"/>
    </row>
    <row r="142" spans="1:6" s="1" customFormat="1" ht="18" customHeight="1">
      <c r="A142" s="58" t="s">
        <v>116</v>
      </c>
      <c r="B142" s="39" t="s">
        <v>64</v>
      </c>
      <c r="C142" s="39" t="s">
        <v>610</v>
      </c>
      <c r="D142" s="39"/>
      <c r="E142" s="40">
        <f>E143</f>
        <v>2010.1</v>
      </c>
      <c r="F142" s="40"/>
    </row>
    <row r="143" spans="1:6" s="1" customFormat="1" ht="60.75" customHeight="1">
      <c r="A143" s="42" t="s">
        <v>331</v>
      </c>
      <c r="B143" s="39" t="s">
        <v>64</v>
      </c>
      <c r="C143" s="39" t="s">
        <v>610</v>
      </c>
      <c r="D143" s="39" t="s">
        <v>179</v>
      </c>
      <c r="E143" s="40">
        <f>E144</f>
        <v>2010.1</v>
      </c>
      <c r="F143" s="40"/>
    </row>
    <row r="144" spans="1:6" s="1" customFormat="1" ht="18" customHeight="1">
      <c r="A144" s="42" t="s">
        <v>172</v>
      </c>
      <c r="B144" s="39" t="s">
        <v>64</v>
      </c>
      <c r="C144" s="39" t="s">
        <v>610</v>
      </c>
      <c r="D144" s="39" t="s">
        <v>171</v>
      </c>
      <c r="E144" s="40">
        <f>E148+E152+E156+E160+E164</f>
        <v>2010.1</v>
      </c>
      <c r="F144" s="40"/>
    </row>
    <row r="145" spans="1:6" s="1" customFormat="1" ht="90.75" customHeight="1">
      <c r="A145" s="58" t="s">
        <v>611</v>
      </c>
      <c r="B145" s="39" t="s">
        <v>64</v>
      </c>
      <c r="C145" s="39" t="s">
        <v>612</v>
      </c>
      <c r="D145" s="39"/>
      <c r="E145" s="40">
        <f>E146</f>
        <v>402</v>
      </c>
      <c r="F145" s="40"/>
    </row>
    <row r="146" spans="1:6" s="1" customFormat="1" ht="18" customHeight="1">
      <c r="A146" s="58" t="s">
        <v>116</v>
      </c>
      <c r="B146" s="39" t="s">
        <v>64</v>
      </c>
      <c r="C146" s="39" t="s">
        <v>612</v>
      </c>
      <c r="D146" s="39"/>
      <c r="E146" s="40">
        <f>E147</f>
        <v>402</v>
      </c>
      <c r="F146" s="40"/>
    </row>
    <row r="147" spans="1:6" s="1" customFormat="1" ht="61.5" customHeight="1">
      <c r="A147" s="42" t="s">
        <v>331</v>
      </c>
      <c r="B147" s="39" t="s">
        <v>64</v>
      </c>
      <c r="C147" s="39" t="s">
        <v>612</v>
      </c>
      <c r="D147" s="39" t="s">
        <v>179</v>
      </c>
      <c r="E147" s="40">
        <f>E148</f>
        <v>402</v>
      </c>
      <c r="F147" s="40"/>
    </row>
    <row r="148" spans="1:6" s="1" customFormat="1" ht="21.75" customHeight="1">
      <c r="A148" s="42" t="s">
        <v>172</v>
      </c>
      <c r="B148" s="39" t="s">
        <v>64</v>
      </c>
      <c r="C148" s="39" t="s">
        <v>612</v>
      </c>
      <c r="D148" s="39" t="s">
        <v>171</v>
      </c>
      <c r="E148" s="40">
        <f>402</f>
        <v>402</v>
      </c>
      <c r="F148" s="40"/>
    </row>
    <row r="149" spans="1:6" s="1" customFormat="1" ht="94.5" customHeight="1">
      <c r="A149" s="58" t="s">
        <v>613</v>
      </c>
      <c r="B149" s="39" t="s">
        <v>64</v>
      </c>
      <c r="C149" s="39" t="s">
        <v>614</v>
      </c>
      <c r="D149" s="39"/>
      <c r="E149" s="40">
        <f>E150</f>
        <v>402</v>
      </c>
      <c r="F149" s="40"/>
    </row>
    <row r="150" spans="1:6" s="1" customFormat="1" ht="18" customHeight="1">
      <c r="A150" s="58" t="s">
        <v>116</v>
      </c>
      <c r="B150" s="39" t="s">
        <v>64</v>
      </c>
      <c r="C150" s="39" t="s">
        <v>614</v>
      </c>
      <c r="D150" s="39"/>
      <c r="E150" s="40">
        <f>E151</f>
        <v>402</v>
      </c>
      <c r="F150" s="40"/>
    </row>
    <row r="151" spans="1:6" s="1" customFormat="1" ht="61.5" customHeight="1">
      <c r="A151" s="42" t="s">
        <v>331</v>
      </c>
      <c r="B151" s="39" t="s">
        <v>64</v>
      </c>
      <c r="C151" s="39" t="s">
        <v>614</v>
      </c>
      <c r="D151" s="39" t="s">
        <v>179</v>
      </c>
      <c r="E151" s="40">
        <f>E152</f>
        <v>402</v>
      </c>
      <c r="F151" s="40"/>
    </row>
    <row r="152" spans="1:6" s="1" customFormat="1" ht="18" customHeight="1">
      <c r="A152" s="42" t="s">
        <v>172</v>
      </c>
      <c r="B152" s="39" t="s">
        <v>64</v>
      </c>
      <c r="C152" s="39" t="s">
        <v>614</v>
      </c>
      <c r="D152" s="39" t="s">
        <v>171</v>
      </c>
      <c r="E152" s="40">
        <f>402</f>
        <v>402</v>
      </c>
      <c r="F152" s="40"/>
    </row>
    <row r="153" spans="1:6" s="1" customFormat="1" ht="93.75" customHeight="1">
      <c r="A153" s="58" t="s">
        <v>615</v>
      </c>
      <c r="B153" s="39" t="s">
        <v>64</v>
      </c>
      <c r="C153" s="39" t="s">
        <v>616</v>
      </c>
      <c r="D153" s="39"/>
      <c r="E153" s="40">
        <f>E154</f>
        <v>402.1</v>
      </c>
      <c r="F153" s="40"/>
    </row>
    <row r="154" spans="1:6" s="1" customFormat="1" ht="18" customHeight="1">
      <c r="A154" s="58" t="s">
        <v>116</v>
      </c>
      <c r="B154" s="39" t="s">
        <v>64</v>
      </c>
      <c r="C154" s="39" t="s">
        <v>616</v>
      </c>
      <c r="D154" s="39"/>
      <c r="E154" s="40">
        <f>E155</f>
        <v>402.1</v>
      </c>
      <c r="F154" s="40"/>
    </row>
    <row r="155" spans="1:6" s="1" customFormat="1" ht="63" customHeight="1">
      <c r="A155" s="42" t="s">
        <v>331</v>
      </c>
      <c r="B155" s="39" t="s">
        <v>64</v>
      </c>
      <c r="C155" s="39" t="s">
        <v>616</v>
      </c>
      <c r="D155" s="39" t="s">
        <v>179</v>
      </c>
      <c r="E155" s="40">
        <f>E156</f>
        <v>402.1</v>
      </c>
      <c r="F155" s="40"/>
    </row>
    <row r="156" spans="1:6" s="1" customFormat="1" ht="18" customHeight="1">
      <c r="A156" s="42" t="s">
        <v>172</v>
      </c>
      <c r="B156" s="39" t="s">
        <v>64</v>
      </c>
      <c r="C156" s="39" t="s">
        <v>616</v>
      </c>
      <c r="D156" s="39" t="s">
        <v>171</v>
      </c>
      <c r="E156" s="40">
        <f>402.1</f>
        <v>402.1</v>
      </c>
      <c r="F156" s="40"/>
    </row>
    <row r="157" spans="1:6" s="1" customFormat="1" ht="93.75" customHeight="1">
      <c r="A157" s="58" t="s">
        <v>617</v>
      </c>
      <c r="B157" s="39" t="s">
        <v>64</v>
      </c>
      <c r="C157" s="39" t="s">
        <v>618</v>
      </c>
      <c r="D157" s="39"/>
      <c r="E157" s="40">
        <f>E158</f>
        <v>402</v>
      </c>
      <c r="F157" s="40"/>
    </row>
    <row r="158" spans="1:6" s="1" customFormat="1" ht="18" customHeight="1">
      <c r="A158" s="58" t="s">
        <v>116</v>
      </c>
      <c r="B158" s="39" t="s">
        <v>64</v>
      </c>
      <c r="C158" s="39" t="s">
        <v>618</v>
      </c>
      <c r="D158" s="39"/>
      <c r="E158" s="40">
        <f>E159</f>
        <v>402</v>
      </c>
      <c r="F158" s="40"/>
    </row>
    <row r="159" spans="1:6" s="1" customFormat="1" ht="62.25" customHeight="1">
      <c r="A159" s="42" t="s">
        <v>331</v>
      </c>
      <c r="B159" s="39" t="s">
        <v>64</v>
      </c>
      <c r="C159" s="39" t="s">
        <v>618</v>
      </c>
      <c r="D159" s="39" t="s">
        <v>179</v>
      </c>
      <c r="E159" s="40">
        <f>E160</f>
        <v>402</v>
      </c>
      <c r="F159" s="40"/>
    </row>
    <row r="160" spans="1:6" s="1" customFormat="1" ht="18" customHeight="1">
      <c r="A160" s="42" t="s">
        <v>172</v>
      </c>
      <c r="B160" s="39" t="s">
        <v>64</v>
      </c>
      <c r="C160" s="39" t="s">
        <v>618</v>
      </c>
      <c r="D160" s="39" t="s">
        <v>171</v>
      </c>
      <c r="E160" s="40">
        <f>402</f>
        <v>402</v>
      </c>
      <c r="F160" s="40"/>
    </row>
    <row r="161" spans="1:6" s="1" customFormat="1" ht="92.25" customHeight="1">
      <c r="A161" s="58" t="s">
        <v>619</v>
      </c>
      <c r="B161" s="39" t="s">
        <v>64</v>
      </c>
      <c r="C161" s="39" t="s">
        <v>620</v>
      </c>
      <c r="D161" s="39"/>
      <c r="E161" s="40">
        <f>E162</f>
        <v>402</v>
      </c>
      <c r="F161" s="40"/>
    </row>
    <row r="162" spans="1:6" s="1" customFormat="1" ht="18" customHeight="1">
      <c r="A162" s="58" t="s">
        <v>116</v>
      </c>
      <c r="B162" s="39" t="s">
        <v>64</v>
      </c>
      <c r="C162" s="39" t="s">
        <v>620</v>
      </c>
      <c r="D162" s="39"/>
      <c r="E162" s="40">
        <f>E163</f>
        <v>402</v>
      </c>
      <c r="F162" s="40"/>
    </row>
    <row r="163" spans="1:6" s="1" customFormat="1" ht="66" customHeight="1">
      <c r="A163" s="42" t="s">
        <v>331</v>
      </c>
      <c r="B163" s="39" t="s">
        <v>64</v>
      </c>
      <c r="C163" s="39" t="s">
        <v>620</v>
      </c>
      <c r="D163" s="39" t="s">
        <v>179</v>
      </c>
      <c r="E163" s="40">
        <f>E164</f>
        <v>402</v>
      </c>
      <c r="F163" s="40"/>
    </row>
    <row r="164" spans="1:6" s="1" customFormat="1" ht="18" customHeight="1">
      <c r="A164" s="42" t="s">
        <v>172</v>
      </c>
      <c r="B164" s="39" t="s">
        <v>64</v>
      </c>
      <c r="C164" s="39" t="s">
        <v>620</v>
      </c>
      <c r="D164" s="39" t="s">
        <v>171</v>
      </c>
      <c r="E164" s="40">
        <f>402</f>
        <v>402</v>
      </c>
      <c r="F164" s="40"/>
    </row>
    <row r="165" spans="1:6" s="1" customFormat="1" ht="23.25" customHeight="1">
      <c r="A165" s="36" t="s">
        <v>245</v>
      </c>
      <c r="B165" s="39" t="s">
        <v>64</v>
      </c>
      <c r="C165" s="39" t="s">
        <v>21</v>
      </c>
      <c r="D165" s="39"/>
      <c r="E165" s="40">
        <f>E166</f>
        <v>13726.800000000001</v>
      </c>
      <c r="F165" s="40">
        <f>F168</f>
        <v>0</v>
      </c>
    </row>
    <row r="166" spans="1:6" s="1" customFormat="1" ht="30.75" customHeight="1">
      <c r="A166" s="105" t="s">
        <v>311</v>
      </c>
      <c r="B166" s="39" t="s">
        <v>64</v>
      </c>
      <c r="C166" s="37" t="s">
        <v>21</v>
      </c>
      <c r="D166" s="39"/>
      <c r="E166" s="40">
        <f>E167</f>
        <v>13726.800000000001</v>
      </c>
      <c r="F166" s="40"/>
    </row>
    <row r="167" spans="1:6" s="1" customFormat="1" ht="20.25" customHeight="1">
      <c r="A167" s="41" t="s">
        <v>41</v>
      </c>
      <c r="B167" s="39" t="s">
        <v>64</v>
      </c>
      <c r="C167" s="37" t="s">
        <v>21</v>
      </c>
      <c r="D167" s="39"/>
      <c r="E167" s="40">
        <f>E168+E180+E183</f>
        <v>13726.800000000001</v>
      </c>
      <c r="F167" s="40"/>
    </row>
    <row r="168" spans="1:6" s="1" customFormat="1" ht="17.25" customHeight="1">
      <c r="A168" s="41" t="s">
        <v>116</v>
      </c>
      <c r="B168" s="39" t="s">
        <v>64</v>
      </c>
      <c r="C168" s="39" t="s">
        <v>29</v>
      </c>
      <c r="D168" s="39"/>
      <c r="E168" s="40">
        <f>E172+E175+E169</f>
        <v>5237</v>
      </c>
      <c r="F168" s="40"/>
    </row>
    <row r="169" spans="1:6" s="1" customFormat="1" ht="22.5" customHeight="1">
      <c r="A169" s="46" t="s">
        <v>158</v>
      </c>
      <c r="B169" s="39" t="s">
        <v>64</v>
      </c>
      <c r="C169" s="39" t="s">
        <v>30</v>
      </c>
      <c r="D169" s="39"/>
      <c r="E169" s="40">
        <f>E170</f>
        <v>549.2</v>
      </c>
      <c r="F169" s="40"/>
    </row>
    <row r="170" spans="1:6" s="1" customFormat="1" ht="65.25" customHeight="1">
      <c r="A170" s="43" t="s">
        <v>331</v>
      </c>
      <c r="B170" s="39" t="s">
        <v>64</v>
      </c>
      <c r="C170" s="39" t="s">
        <v>30</v>
      </c>
      <c r="D170" s="39" t="s">
        <v>179</v>
      </c>
      <c r="E170" s="40">
        <f>E171</f>
        <v>549.2</v>
      </c>
      <c r="F170" s="40"/>
    </row>
    <row r="171" spans="1:6" s="1" customFormat="1" ht="24" customHeight="1">
      <c r="A171" s="43" t="s">
        <v>172</v>
      </c>
      <c r="B171" s="39" t="s">
        <v>64</v>
      </c>
      <c r="C171" s="39" t="s">
        <v>30</v>
      </c>
      <c r="D171" s="39" t="s">
        <v>171</v>
      </c>
      <c r="E171" s="40">
        <f>453.8+1.6+93.8</f>
        <v>549.2</v>
      </c>
      <c r="F171" s="40"/>
    </row>
    <row r="172" spans="1:6" s="1" customFormat="1" ht="21" customHeight="1">
      <c r="A172" s="46" t="s">
        <v>159</v>
      </c>
      <c r="B172" s="39" t="s">
        <v>64</v>
      </c>
      <c r="C172" s="39" t="s">
        <v>31</v>
      </c>
      <c r="D172" s="39"/>
      <c r="E172" s="40">
        <f>E173</f>
        <v>3739.1</v>
      </c>
      <c r="F172" s="40"/>
    </row>
    <row r="173" spans="1:6" s="1" customFormat="1" ht="61.5" customHeight="1">
      <c r="A173" s="43" t="s">
        <v>331</v>
      </c>
      <c r="B173" s="39" t="s">
        <v>64</v>
      </c>
      <c r="C173" s="39" t="s">
        <v>31</v>
      </c>
      <c r="D173" s="39" t="s">
        <v>179</v>
      </c>
      <c r="E173" s="40">
        <f>E174</f>
        <v>3739.1</v>
      </c>
      <c r="F173" s="40"/>
    </row>
    <row r="174" spans="1:6" s="1" customFormat="1" ht="21" customHeight="1">
      <c r="A174" s="43" t="s">
        <v>172</v>
      </c>
      <c r="B174" s="39" t="s">
        <v>64</v>
      </c>
      <c r="C174" s="39" t="s">
        <v>31</v>
      </c>
      <c r="D174" s="39" t="s">
        <v>171</v>
      </c>
      <c r="E174" s="40">
        <f>4558-1.6-1000-270.6+453.3</f>
        <v>3739.1</v>
      </c>
      <c r="F174" s="40"/>
    </row>
    <row r="175" spans="1:6" s="1" customFormat="1" ht="30.75" customHeight="1">
      <c r="A175" s="46" t="s">
        <v>68</v>
      </c>
      <c r="B175" s="39" t="s">
        <v>64</v>
      </c>
      <c r="C175" s="39" t="s">
        <v>32</v>
      </c>
      <c r="D175" s="39"/>
      <c r="E175" s="40">
        <f>E176+E178</f>
        <v>948.7</v>
      </c>
      <c r="F175" s="40"/>
    </row>
    <row r="176" spans="1:6" s="1" customFormat="1" ht="20.25" customHeight="1">
      <c r="A176" s="46" t="s">
        <v>174</v>
      </c>
      <c r="B176" s="39" t="s">
        <v>64</v>
      </c>
      <c r="C176" s="39" t="s">
        <v>32</v>
      </c>
      <c r="D176" s="39" t="s">
        <v>173</v>
      </c>
      <c r="E176" s="40">
        <f>E177</f>
        <v>946.7</v>
      </c>
      <c r="F176" s="40"/>
    </row>
    <row r="177" spans="1:6" s="1" customFormat="1" ht="31.5" customHeight="1">
      <c r="A177" s="46" t="s">
        <v>176</v>
      </c>
      <c r="B177" s="39" t="s">
        <v>64</v>
      </c>
      <c r="C177" s="39" t="s">
        <v>32</v>
      </c>
      <c r="D177" s="39" t="s">
        <v>175</v>
      </c>
      <c r="E177" s="40">
        <f>1108.7-162</f>
        <v>946.7</v>
      </c>
      <c r="F177" s="40"/>
    </row>
    <row r="178" spans="1:6" s="1" customFormat="1" ht="24.75" customHeight="1">
      <c r="A178" s="46" t="s">
        <v>178</v>
      </c>
      <c r="B178" s="39" t="s">
        <v>64</v>
      </c>
      <c r="C178" s="39" t="s">
        <v>32</v>
      </c>
      <c r="D178" s="39" t="s">
        <v>177</v>
      </c>
      <c r="E178" s="40">
        <f>E179</f>
        <v>2</v>
      </c>
      <c r="F178" s="40"/>
    </row>
    <row r="179" spans="1:6" s="1" customFormat="1" ht="24" customHeight="1">
      <c r="A179" s="46" t="s">
        <v>335</v>
      </c>
      <c r="B179" s="39" t="s">
        <v>64</v>
      </c>
      <c r="C179" s="39" t="s">
        <v>32</v>
      </c>
      <c r="D179" s="39" t="s">
        <v>334</v>
      </c>
      <c r="E179" s="40">
        <v>2</v>
      </c>
      <c r="F179" s="40"/>
    </row>
    <row r="180" spans="1:6" s="1" customFormat="1" ht="30" customHeight="1">
      <c r="A180" s="55" t="s">
        <v>447</v>
      </c>
      <c r="B180" s="39" t="s">
        <v>64</v>
      </c>
      <c r="C180" s="39" t="s">
        <v>310</v>
      </c>
      <c r="D180" s="39"/>
      <c r="E180" s="40">
        <f>E181</f>
        <v>2517.6</v>
      </c>
      <c r="F180" s="40"/>
    </row>
    <row r="181" spans="1:6" s="1" customFormat="1" ht="60.75" customHeight="1">
      <c r="A181" s="43" t="s">
        <v>331</v>
      </c>
      <c r="B181" s="39" t="s">
        <v>64</v>
      </c>
      <c r="C181" s="39" t="s">
        <v>310</v>
      </c>
      <c r="D181" s="39" t="s">
        <v>179</v>
      </c>
      <c r="E181" s="40">
        <f>E182</f>
        <v>2517.6</v>
      </c>
      <c r="F181" s="40"/>
    </row>
    <row r="182" spans="1:6" s="1" customFormat="1" ht="22.5" customHeight="1">
      <c r="A182" s="43" t="s">
        <v>172</v>
      </c>
      <c r="B182" s="39" t="s">
        <v>64</v>
      </c>
      <c r="C182" s="39" t="s">
        <v>310</v>
      </c>
      <c r="D182" s="39" t="s">
        <v>171</v>
      </c>
      <c r="E182" s="40">
        <f>2202.3+270.6+44.7</f>
        <v>2517.6</v>
      </c>
      <c r="F182" s="40"/>
    </row>
    <row r="183" spans="1:6" s="1" customFormat="1" ht="63" customHeight="1">
      <c r="A183" s="58" t="s">
        <v>547</v>
      </c>
      <c r="B183" s="39" t="s">
        <v>64</v>
      </c>
      <c r="C183" s="39" t="s">
        <v>548</v>
      </c>
      <c r="D183" s="39"/>
      <c r="E183" s="40">
        <f>E184+E187</f>
        <v>5972.200000000001</v>
      </c>
      <c r="F183" s="40"/>
    </row>
    <row r="184" spans="1:6" s="1" customFormat="1" ht="22.5" customHeight="1">
      <c r="A184" s="58" t="s">
        <v>159</v>
      </c>
      <c r="B184" s="39" t="s">
        <v>64</v>
      </c>
      <c r="C184" s="39" t="s">
        <v>548</v>
      </c>
      <c r="D184" s="39"/>
      <c r="E184" s="40">
        <f>E185</f>
        <v>5469.6</v>
      </c>
      <c r="F184" s="40"/>
    </row>
    <row r="185" spans="1:6" s="1" customFormat="1" ht="61.5" customHeight="1">
      <c r="A185" s="42" t="s">
        <v>331</v>
      </c>
      <c r="B185" s="39" t="s">
        <v>64</v>
      </c>
      <c r="C185" s="39" t="s">
        <v>548</v>
      </c>
      <c r="D185" s="39" t="s">
        <v>179</v>
      </c>
      <c r="E185" s="40">
        <f>E186</f>
        <v>5469.6</v>
      </c>
      <c r="F185" s="40"/>
    </row>
    <row r="186" spans="1:6" s="1" customFormat="1" ht="22.5" customHeight="1">
      <c r="A186" s="42" t="s">
        <v>172</v>
      </c>
      <c r="B186" s="39" t="s">
        <v>64</v>
      </c>
      <c r="C186" s="39" t="s">
        <v>548</v>
      </c>
      <c r="D186" s="39" t="s">
        <v>171</v>
      </c>
      <c r="E186" s="40">
        <f>E200+E193+E204+E211+E218+E225+E232+E239+E246+E253</f>
        <v>5469.6</v>
      </c>
      <c r="F186" s="40"/>
    </row>
    <row r="187" spans="1:6" s="1" customFormat="1" ht="31.5" customHeight="1">
      <c r="A187" s="58" t="s">
        <v>68</v>
      </c>
      <c r="B187" s="39" t="s">
        <v>64</v>
      </c>
      <c r="C187" s="39" t="s">
        <v>548</v>
      </c>
      <c r="D187" s="39"/>
      <c r="E187" s="40">
        <f>E188</f>
        <v>502.6</v>
      </c>
      <c r="F187" s="40"/>
    </row>
    <row r="188" spans="1:6" s="1" customFormat="1" ht="22.5" customHeight="1">
      <c r="A188" s="58" t="s">
        <v>174</v>
      </c>
      <c r="B188" s="39" t="s">
        <v>64</v>
      </c>
      <c r="C188" s="39" t="s">
        <v>548</v>
      </c>
      <c r="D188" s="39" t="s">
        <v>173</v>
      </c>
      <c r="E188" s="40">
        <f>E189</f>
        <v>502.6</v>
      </c>
      <c r="F188" s="40"/>
    </row>
    <row r="189" spans="1:6" s="1" customFormat="1" ht="31.5" customHeight="1">
      <c r="A189" s="58" t="s">
        <v>176</v>
      </c>
      <c r="B189" s="39" t="s">
        <v>64</v>
      </c>
      <c r="C189" s="39" t="s">
        <v>548</v>
      </c>
      <c r="D189" s="39" t="s">
        <v>175</v>
      </c>
      <c r="E189" s="40">
        <f>E196+E207+E214+E221+E228+E235+E242+E249+E256</f>
        <v>502.6</v>
      </c>
      <c r="F189" s="40"/>
    </row>
    <row r="190" spans="1:6" s="1" customFormat="1" ht="77.25" customHeight="1">
      <c r="A190" s="58" t="s">
        <v>584</v>
      </c>
      <c r="B190" s="39" t="s">
        <v>64</v>
      </c>
      <c r="C190" s="39" t="s">
        <v>585</v>
      </c>
      <c r="D190" s="39"/>
      <c r="E190" s="40">
        <f>E191+E194</f>
        <v>532.2</v>
      </c>
      <c r="F190" s="40"/>
    </row>
    <row r="191" spans="1:6" s="1" customFormat="1" ht="20.25" customHeight="1">
      <c r="A191" s="58" t="s">
        <v>159</v>
      </c>
      <c r="B191" s="39" t="s">
        <v>64</v>
      </c>
      <c r="C191" s="39" t="s">
        <v>585</v>
      </c>
      <c r="D191" s="39"/>
      <c r="E191" s="40">
        <f>E192</f>
        <v>443.5</v>
      </c>
      <c r="F191" s="40"/>
    </row>
    <row r="192" spans="1:6" s="1" customFormat="1" ht="63.75" customHeight="1">
      <c r="A192" s="42" t="s">
        <v>331</v>
      </c>
      <c r="B192" s="39" t="s">
        <v>64</v>
      </c>
      <c r="C192" s="39" t="s">
        <v>585</v>
      </c>
      <c r="D192" s="39" t="s">
        <v>179</v>
      </c>
      <c r="E192" s="40">
        <f>E193</f>
        <v>443.5</v>
      </c>
      <c r="F192" s="40"/>
    </row>
    <row r="193" spans="1:6" s="1" customFormat="1" ht="20.25" customHeight="1">
      <c r="A193" s="42" t="s">
        <v>172</v>
      </c>
      <c r="B193" s="39" t="s">
        <v>64</v>
      </c>
      <c r="C193" s="39" t="s">
        <v>585</v>
      </c>
      <c r="D193" s="39" t="s">
        <v>171</v>
      </c>
      <c r="E193" s="40">
        <f>443.5</f>
        <v>443.5</v>
      </c>
      <c r="F193" s="40"/>
    </row>
    <row r="194" spans="1:6" s="1" customFormat="1" ht="31.5" customHeight="1">
      <c r="A194" s="58" t="s">
        <v>68</v>
      </c>
      <c r="B194" s="39" t="s">
        <v>64</v>
      </c>
      <c r="C194" s="39" t="s">
        <v>585</v>
      </c>
      <c r="D194" s="39"/>
      <c r="E194" s="40">
        <f>E195</f>
        <v>88.7</v>
      </c>
      <c r="F194" s="40"/>
    </row>
    <row r="195" spans="1:6" s="1" customFormat="1" ht="20.25" customHeight="1">
      <c r="A195" s="58" t="s">
        <v>174</v>
      </c>
      <c r="B195" s="39" t="s">
        <v>64</v>
      </c>
      <c r="C195" s="39" t="s">
        <v>585</v>
      </c>
      <c r="D195" s="39" t="s">
        <v>173</v>
      </c>
      <c r="E195" s="40">
        <f>E196</f>
        <v>88.7</v>
      </c>
      <c r="F195" s="40"/>
    </row>
    <row r="196" spans="1:6" s="1" customFormat="1" ht="31.5" customHeight="1">
      <c r="A196" s="58" t="s">
        <v>176</v>
      </c>
      <c r="B196" s="39" t="s">
        <v>64</v>
      </c>
      <c r="C196" s="39" t="s">
        <v>585</v>
      </c>
      <c r="D196" s="39" t="s">
        <v>175</v>
      </c>
      <c r="E196" s="40">
        <f>88.7</f>
        <v>88.7</v>
      </c>
      <c r="F196" s="40"/>
    </row>
    <row r="197" spans="1:6" s="1" customFormat="1" ht="75" customHeight="1">
      <c r="A197" s="58" t="s">
        <v>550</v>
      </c>
      <c r="B197" s="39" t="s">
        <v>64</v>
      </c>
      <c r="C197" s="39" t="s">
        <v>549</v>
      </c>
      <c r="D197" s="39"/>
      <c r="E197" s="40">
        <f>E198</f>
        <v>2956.6</v>
      </c>
      <c r="F197" s="40"/>
    </row>
    <row r="198" spans="1:6" s="1" customFormat="1" ht="24.75" customHeight="1">
      <c r="A198" s="58" t="s">
        <v>159</v>
      </c>
      <c r="B198" s="39" t="s">
        <v>64</v>
      </c>
      <c r="C198" s="39" t="s">
        <v>549</v>
      </c>
      <c r="D198" s="39"/>
      <c r="E198" s="40">
        <f>E199</f>
        <v>2956.6</v>
      </c>
      <c r="F198" s="40"/>
    </row>
    <row r="199" spans="1:6" s="1" customFormat="1" ht="64.5" customHeight="1">
      <c r="A199" s="42" t="s">
        <v>331</v>
      </c>
      <c r="B199" s="39" t="s">
        <v>64</v>
      </c>
      <c r="C199" s="39" t="s">
        <v>549</v>
      </c>
      <c r="D199" s="39" t="s">
        <v>179</v>
      </c>
      <c r="E199" s="40">
        <f>E200</f>
        <v>2956.6</v>
      </c>
      <c r="F199" s="40"/>
    </row>
    <row r="200" spans="1:6" s="1" customFormat="1" ht="23.25" customHeight="1">
      <c r="A200" s="42" t="s">
        <v>172</v>
      </c>
      <c r="B200" s="39" t="s">
        <v>64</v>
      </c>
      <c r="C200" s="39" t="s">
        <v>549</v>
      </c>
      <c r="D200" s="39" t="s">
        <v>171</v>
      </c>
      <c r="E200" s="40">
        <f>2956.6</f>
        <v>2956.6</v>
      </c>
      <c r="F200" s="40"/>
    </row>
    <row r="201" spans="1:6" s="1" customFormat="1" ht="74.25" customHeight="1">
      <c r="A201" s="58" t="s">
        <v>568</v>
      </c>
      <c r="B201" s="39" t="s">
        <v>64</v>
      </c>
      <c r="C201" s="39" t="s">
        <v>569</v>
      </c>
      <c r="D201" s="39"/>
      <c r="E201" s="40">
        <f>E202+E205</f>
        <v>189.2</v>
      </c>
      <c r="F201" s="40"/>
    </row>
    <row r="202" spans="1:6" s="1" customFormat="1" ht="23.25" customHeight="1">
      <c r="A202" s="58" t="s">
        <v>159</v>
      </c>
      <c r="B202" s="39" t="s">
        <v>64</v>
      </c>
      <c r="C202" s="39" t="s">
        <v>569</v>
      </c>
      <c r="D202" s="39"/>
      <c r="E202" s="40">
        <f>E203</f>
        <v>157.7</v>
      </c>
      <c r="F202" s="40"/>
    </row>
    <row r="203" spans="1:6" s="1" customFormat="1" ht="62.25" customHeight="1">
      <c r="A203" s="42" t="s">
        <v>331</v>
      </c>
      <c r="B203" s="39" t="s">
        <v>64</v>
      </c>
      <c r="C203" s="39" t="s">
        <v>569</v>
      </c>
      <c r="D203" s="39" t="s">
        <v>179</v>
      </c>
      <c r="E203" s="40">
        <f>E204</f>
        <v>157.7</v>
      </c>
      <c r="F203" s="40"/>
    </row>
    <row r="204" spans="1:6" s="1" customFormat="1" ht="23.25" customHeight="1">
      <c r="A204" s="42" t="s">
        <v>172</v>
      </c>
      <c r="B204" s="39" t="s">
        <v>64</v>
      </c>
      <c r="C204" s="39" t="s">
        <v>569</v>
      </c>
      <c r="D204" s="39" t="s">
        <v>171</v>
      </c>
      <c r="E204" s="40">
        <f>157.7</f>
        <v>157.7</v>
      </c>
      <c r="F204" s="40"/>
    </row>
    <row r="205" spans="1:6" s="1" customFormat="1" ht="31.5" customHeight="1">
      <c r="A205" s="58" t="s">
        <v>68</v>
      </c>
      <c r="B205" s="39" t="s">
        <v>64</v>
      </c>
      <c r="C205" s="39" t="s">
        <v>569</v>
      </c>
      <c r="D205" s="39"/>
      <c r="E205" s="40">
        <f>E206</f>
        <v>31.5</v>
      </c>
      <c r="F205" s="40"/>
    </row>
    <row r="206" spans="1:6" s="1" customFormat="1" ht="23.25" customHeight="1">
      <c r="A206" s="58" t="s">
        <v>174</v>
      </c>
      <c r="B206" s="39" t="s">
        <v>64</v>
      </c>
      <c r="C206" s="39" t="s">
        <v>569</v>
      </c>
      <c r="D206" s="39" t="s">
        <v>173</v>
      </c>
      <c r="E206" s="40">
        <f>E207</f>
        <v>31.5</v>
      </c>
      <c r="F206" s="40"/>
    </row>
    <row r="207" spans="1:6" s="1" customFormat="1" ht="31.5" customHeight="1">
      <c r="A207" s="58" t="s">
        <v>176</v>
      </c>
      <c r="B207" s="39" t="s">
        <v>64</v>
      </c>
      <c r="C207" s="39" t="s">
        <v>569</v>
      </c>
      <c r="D207" s="39" t="s">
        <v>175</v>
      </c>
      <c r="E207" s="40">
        <f>31.5</f>
        <v>31.5</v>
      </c>
      <c r="F207" s="40"/>
    </row>
    <row r="208" spans="1:6" s="1" customFormat="1" ht="76.5" customHeight="1">
      <c r="A208" s="58" t="s">
        <v>570</v>
      </c>
      <c r="B208" s="39" t="s">
        <v>64</v>
      </c>
      <c r="C208" s="39" t="s">
        <v>571</v>
      </c>
      <c r="D208" s="39"/>
      <c r="E208" s="40">
        <f>E209+E212</f>
        <v>804.2</v>
      </c>
      <c r="F208" s="40"/>
    </row>
    <row r="209" spans="1:6" s="1" customFormat="1" ht="23.25" customHeight="1">
      <c r="A209" s="58" t="s">
        <v>159</v>
      </c>
      <c r="B209" s="39" t="s">
        <v>64</v>
      </c>
      <c r="C209" s="39" t="s">
        <v>571</v>
      </c>
      <c r="D209" s="39"/>
      <c r="E209" s="40">
        <f>E210</f>
        <v>670.1</v>
      </c>
      <c r="F209" s="40"/>
    </row>
    <row r="210" spans="1:6" s="1" customFormat="1" ht="68.25" customHeight="1">
      <c r="A210" s="42" t="s">
        <v>331</v>
      </c>
      <c r="B210" s="39" t="s">
        <v>64</v>
      </c>
      <c r="C210" s="39" t="s">
        <v>571</v>
      </c>
      <c r="D210" s="39" t="s">
        <v>179</v>
      </c>
      <c r="E210" s="40">
        <f>E211</f>
        <v>670.1</v>
      </c>
      <c r="F210" s="40"/>
    </row>
    <row r="211" spans="1:6" s="1" customFormat="1" ht="23.25" customHeight="1">
      <c r="A211" s="42" t="s">
        <v>172</v>
      </c>
      <c r="B211" s="39" t="s">
        <v>64</v>
      </c>
      <c r="C211" s="39" t="s">
        <v>571</v>
      </c>
      <c r="D211" s="39" t="s">
        <v>171</v>
      </c>
      <c r="E211" s="40">
        <f>670.1</f>
        <v>670.1</v>
      </c>
      <c r="F211" s="40"/>
    </row>
    <row r="212" spans="1:6" s="1" customFormat="1" ht="32.25" customHeight="1">
      <c r="A212" s="58" t="s">
        <v>68</v>
      </c>
      <c r="B212" s="39" t="s">
        <v>64</v>
      </c>
      <c r="C212" s="39" t="s">
        <v>571</v>
      </c>
      <c r="D212" s="39"/>
      <c r="E212" s="40">
        <f>E213</f>
        <v>134.1</v>
      </c>
      <c r="F212" s="40"/>
    </row>
    <row r="213" spans="1:6" s="1" customFormat="1" ht="23.25" customHeight="1">
      <c r="A213" s="58" t="s">
        <v>174</v>
      </c>
      <c r="B213" s="39" t="s">
        <v>64</v>
      </c>
      <c r="C213" s="39" t="s">
        <v>571</v>
      </c>
      <c r="D213" s="39" t="s">
        <v>173</v>
      </c>
      <c r="E213" s="40">
        <f>E214</f>
        <v>134.1</v>
      </c>
      <c r="F213" s="40"/>
    </row>
    <row r="214" spans="1:6" s="1" customFormat="1" ht="32.25" customHeight="1">
      <c r="A214" s="58" t="s">
        <v>176</v>
      </c>
      <c r="B214" s="39" t="s">
        <v>64</v>
      </c>
      <c r="C214" s="39" t="s">
        <v>571</v>
      </c>
      <c r="D214" s="39" t="s">
        <v>175</v>
      </c>
      <c r="E214" s="40">
        <f>134.1</f>
        <v>134.1</v>
      </c>
      <c r="F214" s="40"/>
    </row>
    <row r="215" spans="1:6" s="1" customFormat="1" ht="75.75" customHeight="1">
      <c r="A215" s="58" t="s">
        <v>572</v>
      </c>
      <c r="B215" s="39" t="s">
        <v>64</v>
      </c>
      <c r="C215" s="39" t="s">
        <v>573</v>
      </c>
      <c r="D215" s="39"/>
      <c r="E215" s="40">
        <f>E216+E219</f>
        <v>272</v>
      </c>
      <c r="F215" s="40"/>
    </row>
    <row r="216" spans="1:6" s="1" customFormat="1" ht="21.75" customHeight="1">
      <c r="A216" s="58" t="s">
        <v>159</v>
      </c>
      <c r="B216" s="39" t="s">
        <v>64</v>
      </c>
      <c r="C216" s="39" t="s">
        <v>573</v>
      </c>
      <c r="D216" s="39"/>
      <c r="E216" s="40">
        <f>E217</f>
        <v>226.7</v>
      </c>
      <c r="F216" s="40"/>
    </row>
    <row r="217" spans="1:6" s="1" customFormat="1" ht="62.25" customHeight="1">
      <c r="A217" s="42" t="s">
        <v>331</v>
      </c>
      <c r="B217" s="39" t="s">
        <v>64</v>
      </c>
      <c r="C217" s="39" t="s">
        <v>573</v>
      </c>
      <c r="D217" s="39" t="s">
        <v>179</v>
      </c>
      <c r="E217" s="40">
        <f>E218</f>
        <v>226.7</v>
      </c>
      <c r="F217" s="40"/>
    </row>
    <row r="218" spans="1:6" s="1" customFormat="1" ht="23.25" customHeight="1">
      <c r="A218" s="42" t="s">
        <v>172</v>
      </c>
      <c r="B218" s="39" t="s">
        <v>64</v>
      </c>
      <c r="C218" s="39" t="s">
        <v>573</v>
      </c>
      <c r="D218" s="39" t="s">
        <v>171</v>
      </c>
      <c r="E218" s="40">
        <f>226.7</f>
        <v>226.7</v>
      </c>
      <c r="F218" s="40"/>
    </row>
    <row r="219" spans="1:6" s="1" customFormat="1" ht="32.25" customHeight="1">
      <c r="A219" s="58" t="s">
        <v>68</v>
      </c>
      <c r="B219" s="39" t="s">
        <v>64</v>
      </c>
      <c r="C219" s="39" t="s">
        <v>573</v>
      </c>
      <c r="D219" s="39"/>
      <c r="E219" s="40">
        <f>E220</f>
        <v>45.3</v>
      </c>
      <c r="F219" s="40"/>
    </row>
    <row r="220" spans="1:6" s="1" customFormat="1" ht="24.75" customHeight="1">
      <c r="A220" s="58" t="s">
        <v>174</v>
      </c>
      <c r="B220" s="39" t="s">
        <v>64</v>
      </c>
      <c r="C220" s="39" t="s">
        <v>573</v>
      </c>
      <c r="D220" s="39" t="s">
        <v>173</v>
      </c>
      <c r="E220" s="40">
        <f>E221</f>
        <v>45.3</v>
      </c>
      <c r="F220" s="40"/>
    </row>
    <row r="221" spans="1:6" s="1" customFormat="1" ht="32.25" customHeight="1">
      <c r="A221" s="58" t="s">
        <v>176</v>
      </c>
      <c r="B221" s="39" t="s">
        <v>64</v>
      </c>
      <c r="C221" s="39" t="s">
        <v>573</v>
      </c>
      <c r="D221" s="39" t="s">
        <v>175</v>
      </c>
      <c r="E221" s="40">
        <f>45.3</f>
        <v>45.3</v>
      </c>
      <c r="F221" s="40"/>
    </row>
    <row r="222" spans="1:6" s="1" customFormat="1" ht="73.5" customHeight="1">
      <c r="A222" s="58" t="s">
        <v>574</v>
      </c>
      <c r="B222" s="39" t="s">
        <v>64</v>
      </c>
      <c r="C222" s="39" t="s">
        <v>575</v>
      </c>
      <c r="D222" s="39"/>
      <c r="E222" s="40">
        <f>E223+E226</f>
        <v>177.4</v>
      </c>
      <c r="F222" s="40"/>
    </row>
    <row r="223" spans="1:6" s="1" customFormat="1" ht="23.25" customHeight="1">
      <c r="A223" s="58" t="s">
        <v>159</v>
      </c>
      <c r="B223" s="39" t="s">
        <v>64</v>
      </c>
      <c r="C223" s="39" t="s">
        <v>575</v>
      </c>
      <c r="D223" s="39"/>
      <c r="E223" s="40">
        <f>E224</f>
        <v>147.8</v>
      </c>
      <c r="F223" s="40"/>
    </row>
    <row r="224" spans="1:6" s="1" customFormat="1" ht="60.75" customHeight="1">
      <c r="A224" s="42" t="s">
        <v>331</v>
      </c>
      <c r="B224" s="39" t="s">
        <v>64</v>
      </c>
      <c r="C224" s="39" t="s">
        <v>575</v>
      </c>
      <c r="D224" s="39" t="s">
        <v>179</v>
      </c>
      <c r="E224" s="40">
        <f>E225</f>
        <v>147.8</v>
      </c>
      <c r="F224" s="40"/>
    </row>
    <row r="225" spans="1:6" s="1" customFormat="1" ht="24" customHeight="1">
      <c r="A225" s="42" t="s">
        <v>172</v>
      </c>
      <c r="B225" s="39" t="s">
        <v>64</v>
      </c>
      <c r="C225" s="39" t="s">
        <v>575</v>
      </c>
      <c r="D225" s="39" t="s">
        <v>171</v>
      </c>
      <c r="E225" s="40">
        <f>147.8</f>
        <v>147.8</v>
      </c>
      <c r="F225" s="40"/>
    </row>
    <row r="226" spans="1:6" s="1" customFormat="1" ht="32.25" customHeight="1">
      <c r="A226" s="58" t="s">
        <v>68</v>
      </c>
      <c r="B226" s="39" t="s">
        <v>64</v>
      </c>
      <c r="C226" s="39" t="s">
        <v>575</v>
      </c>
      <c r="D226" s="39"/>
      <c r="E226" s="40">
        <f>E227</f>
        <v>29.6</v>
      </c>
      <c r="F226" s="40"/>
    </row>
    <row r="227" spans="1:6" s="1" customFormat="1" ht="24" customHeight="1">
      <c r="A227" s="58" t="s">
        <v>174</v>
      </c>
      <c r="B227" s="39" t="s">
        <v>64</v>
      </c>
      <c r="C227" s="39" t="s">
        <v>575</v>
      </c>
      <c r="D227" s="39" t="s">
        <v>173</v>
      </c>
      <c r="E227" s="40">
        <f>E228</f>
        <v>29.6</v>
      </c>
      <c r="F227" s="40"/>
    </row>
    <row r="228" spans="1:6" s="1" customFormat="1" ht="32.25" customHeight="1">
      <c r="A228" s="58" t="s">
        <v>176</v>
      </c>
      <c r="B228" s="39" t="s">
        <v>64</v>
      </c>
      <c r="C228" s="39" t="s">
        <v>575</v>
      </c>
      <c r="D228" s="39" t="s">
        <v>175</v>
      </c>
      <c r="E228" s="40">
        <f>29.6</f>
        <v>29.6</v>
      </c>
      <c r="F228" s="40"/>
    </row>
    <row r="229" spans="1:6" s="1" customFormat="1" ht="75.75" customHeight="1">
      <c r="A229" s="58" t="s">
        <v>576</v>
      </c>
      <c r="B229" s="39" t="s">
        <v>64</v>
      </c>
      <c r="C229" s="39" t="s">
        <v>577</v>
      </c>
      <c r="D229" s="39"/>
      <c r="E229" s="40">
        <f>E230+E233</f>
        <v>201</v>
      </c>
      <c r="F229" s="40"/>
    </row>
    <row r="230" spans="1:6" s="1" customFormat="1" ht="22.5" customHeight="1">
      <c r="A230" s="58" t="s">
        <v>159</v>
      </c>
      <c r="B230" s="39" t="s">
        <v>64</v>
      </c>
      <c r="C230" s="39" t="s">
        <v>577</v>
      </c>
      <c r="D230" s="39"/>
      <c r="E230" s="40">
        <f>E231</f>
        <v>167.5</v>
      </c>
      <c r="F230" s="40"/>
    </row>
    <row r="231" spans="1:6" s="1" customFormat="1" ht="62.25" customHeight="1">
      <c r="A231" s="42" t="s">
        <v>331</v>
      </c>
      <c r="B231" s="39" t="s">
        <v>64</v>
      </c>
      <c r="C231" s="39" t="s">
        <v>577</v>
      </c>
      <c r="D231" s="39" t="s">
        <v>179</v>
      </c>
      <c r="E231" s="40">
        <f>E232</f>
        <v>167.5</v>
      </c>
      <c r="F231" s="40"/>
    </row>
    <row r="232" spans="1:6" s="1" customFormat="1" ht="24.75" customHeight="1">
      <c r="A232" s="42" t="s">
        <v>172</v>
      </c>
      <c r="B232" s="39" t="s">
        <v>64</v>
      </c>
      <c r="C232" s="39" t="s">
        <v>577</v>
      </c>
      <c r="D232" s="39" t="s">
        <v>171</v>
      </c>
      <c r="E232" s="40">
        <f>167.5</f>
        <v>167.5</v>
      </c>
      <c r="F232" s="40"/>
    </row>
    <row r="233" spans="1:6" s="1" customFormat="1" ht="32.25" customHeight="1">
      <c r="A233" s="58" t="s">
        <v>68</v>
      </c>
      <c r="B233" s="39" t="s">
        <v>64</v>
      </c>
      <c r="C233" s="39" t="s">
        <v>577</v>
      </c>
      <c r="D233" s="39"/>
      <c r="E233" s="40">
        <f>E234</f>
        <v>33.5</v>
      </c>
      <c r="F233" s="40"/>
    </row>
    <row r="234" spans="1:6" s="1" customFormat="1" ht="21.75" customHeight="1">
      <c r="A234" s="58" t="s">
        <v>174</v>
      </c>
      <c r="B234" s="39" t="s">
        <v>64</v>
      </c>
      <c r="C234" s="39" t="s">
        <v>577</v>
      </c>
      <c r="D234" s="39" t="s">
        <v>173</v>
      </c>
      <c r="E234" s="40">
        <f>E235</f>
        <v>33.5</v>
      </c>
      <c r="F234" s="40"/>
    </row>
    <row r="235" spans="1:6" s="1" customFormat="1" ht="32.25" customHeight="1">
      <c r="A235" s="58" t="s">
        <v>176</v>
      </c>
      <c r="B235" s="39" t="s">
        <v>64</v>
      </c>
      <c r="C235" s="39" t="s">
        <v>577</v>
      </c>
      <c r="D235" s="39" t="s">
        <v>175</v>
      </c>
      <c r="E235" s="40">
        <f>33.5</f>
        <v>33.5</v>
      </c>
      <c r="F235" s="40"/>
    </row>
    <row r="236" spans="1:6" s="1" customFormat="1" ht="74.25" customHeight="1">
      <c r="A236" s="58" t="s">
        <v>578</v>
      </c>
      <c r="B236" s="39" t="s">
        <v>64</v>
      </c>
      <c r="C236" s="39" t="s">
        <v>579</v>
      </c>
      <c r="D236" s="39"/>
      <c r="E236" s="40">
        <f>E237+E240</f>
        <v>236.5</v>
      </c>
      <c r="F236" s="40"/>
    </row>
    <row r="237" spans="1:6" s="1" customFormat="1" ht="21" customHeight="1">
      <c r="A237" s="58" t="s">
        <v>159</v>
      </c>
      <c r="B237" s="39" t="s">
        <v>64</v>
      </c>
      <c r="C237" s="39" t="s">
        <v>579</v>
      </c>
      <c r="D237" s="39"/>
      <c r="E237" s="40">
        <f>E238</f>
        <v>197.1</v>
      </c>
      <c r="F237" s="40"/>
    </row>
    <row r="238" spans="1:6" s="1" customFormat="1" ht="60" customHeight="1">
      <c r="A238" s="42" t="s">
        <v>331</v>
      </c>
      <c r="B238" s="39" t="s">
        <v>64</v>
      </c>
      <c r="C238" s="39" t="s">
        <v>579</v>
      </c>
      <c r="D238" s="39" t="s">
        <v>179</v>
      </c>
      <c r="E238" s="40">
        <f>E239</f>
        <v>197.1</v>
      </c>
      <c r="F238" s="40"/>
    </row>
    <row r="239" spans="1:6" s="1" customFormat="1" ht="19.5" customHeight="1">
      <c r="A239" s="42" t="s">
        <v>172</v>
      </c>
      <c r="B239" s="39" t="s">
        <v>64</v>
      </c>
      <c r="C239" s="39" t="s">
        <v>579</v>
      </c>
      <c r="D239" s="39" t="s">
        <v>171</v>
      </c>
      <c r="E239" s="40">
        <f>197.1</f>
        <v>197.1</v>
      </c>
      <c r="F239" s="40"/>
    </row>
    <row r="240" spans="1:6" s="1" customFormat="1" ht="32.25" customHeight="1">
      <c r="A240" s="58" t="s">
        <v>68</v>
      </c>
      <c r="B240" s="39" t="s">
        <v>64</v>
      </c>
      <c r="C240" s="39" t="s">
        <v>579</v>
      </c>
      <c r="D240" s="39"/>
      <c r="E240" s="40">
        <f>E241</f>
        <v>39.4</v>
      </c>
      <c r="F240" s="40"/>
    </row>
    <row r="241" spans="1:6" s="1" customFormat="1" ht="20.25" customHeight="1">
      <c r="A241" s="58" t="s">
        <v>174</v>
      </c>
      <c r="B241" s="39" t="s">
        <v>64</v>
      </c>
      <c r="C241" s="39" t="s">
        <v>579</v>
      </c>
      <c r="D241" s="39" t="s">
        <v>173</v>
      </c>
      <c r="E241" s="40">
        <f>E242</f>
        <v>39.4</v>
      </c>
      <c r="F241" s="40"/>
    </row>
    <row r="242" spans="1:6" s="1" customFormat="1" ht="32.25" customHeight="1">
      <c r="A242" s="58" t="s">
        <v>176</v>
      </c>
      <c r="B242" s="39" t="s">
        <v>64</v>
      </c>
      <c r="C242" s="39" t="s">
        <v>579</v>
      </c>
      <c r="D242" s="39" t="s">
        <v>175</v>
      </c>
      <c r="E242" s="40">
        <f>39.4</f>
        <v>39.4</v>
      </c>
      <c r="F242" s="40"/>
    </row>
    <row r="243" spans="1:6" s="1" customFormat="1" ht="77.25" customHeight="1">
      <c r="A243" s="58" t="s">
        <v>580</v>
      </c>
      <c r="B243" s="39" t="s">
        <v>64</v>
      </c>
      <c r="C243" s="39" t="s">
        <v>581</v>
      </c>
      <c r="D243" s="39"/>
      <c r="E243" s="40">
        <f>E244+E247</f>
        <v>201</v>
      </c>
      <c r="F243" s="40"/>
    </row>
    <row r="244" spans="1:6" s="1" customFormat="1" ht="22.5" customHeight="1">
      <c r="A244" s="58" t="s">
        <v>159</v>
      </c>
      <c r="B244" s="39" t="s">
        <v>64</v>
      </c>
      <c r="C244" s="39" t="s">
        <v>581</v>
      </c>
      <c r="D244" s="39"/>
      <c r="E244" s="40">
        <f>E245</f>
        <v>167.5</v>
      </c>
      <c r="F244" s="40"/>
    </row>
    <row r="245" spans="1:6" s="1" customFormat="1" ht="58.5" customHeight="1">
      <c r="A245" s="42" t="s">
        <v>331</v>
      </c>
      <c r="B245" s="39" t="s">
        <v>64</v>
      </c>
      <c r="C245" s="39" t="s">
        <v>581</v>
      </c>
      <c r="D245" s="39" t="s">
        <v>179</v>
      </c>
      <c r="E245" s="40">
        <f>E246</f>
        <v>167.5</v>
      </c>
      <c r="F245" s="40"/>
    </row>
    <row r="246" spans="1:6" s="1" customFormat="1" ht="20.25" customHeight="1">
      <c r="A246" s="42" t="s">
        <v>172</v>
      </c>
      <c r="B246" s="39" t="s">
        <v>64</v>
      </c>
      <c r="C246" s="39" t="s">
        <v>581</v>
      </c>
      <c r="D246" s="39" t="s">
        <v>171</v>
      </c>
      <c r="E246" s="40">
        <f>167.5</f>
        <v>167.5</v>
      </c>
      <c r="F246" s="40"/>
    </row>
    <row r="247" spans="1:6" s="1" customFormat="1" ht="32.25" customHeight="1">
      <c r="A247" s="58" t="s">
        <v>68</v>
      </c>
      <c r="B247" s="39" t="s">
        <v>64</v>
      </c>
      <c r="C247" s="39" t="s">
        <v>581</v>
      </c>
      <c r="D247" s="39"/>
      <c r="E247" s="40">
        <f>E248</f>
        <v>33.5</v>
      </c>
      <c r="F247" s="40"/>
    </row>
    <row r="248" spans="1:6" s="1" customFormat="1" ht="16.5" customHeight="1">
      <c r="A248" s="58" t="s">
        <v>174</v>
      </c>
      <c r="B248" s="39" t="s">
        <v>64</v>
      </c>
      <c r="C248" s="39" t="s">
        <v>581</v>
      </c>
      <c r="D248" s="39" t="s">
        <v>173</v>
      </c>
      <c r="E248" s="40">
        <f>E249</f>
        <v>33.5</v>
      </c>
      <c r="F248" s="40"/>
    </row>
    <row r="249" spans="1:6" s="1" customFormat="1" ht="32.25" customHeight="1">
      <c r="A249" s="58" t="s">
        <v>176</v>
      </c>
      <c r="B249" s="39" t="s">
        <v>64</v>
      </c>
      <c r="C249" s="39" t="s">
        <v>581</v>
      </c>
      <c r="D249" s="39" t="s">
        <v>175</v>
      </c>
      <c r="E249" s="40">
        <f>33.5</f>
        <v>33.5</v>
      </c>
      <c r="F249" s="40"/>
    </row>
    <row r="250" spans="1:6" s="1" customFormat="1" ht="75.75" customHeight="1">
      <c r="A250" s="58" t="s">
        <v>582</v>
      </c>
      <c r="B250" s="39" t="s">
        <v>64</v>
      </c>
      <c r="C250" s="39" t="s">
        <v>583</v>
      </c>
      <c r="D250" s="39"/>
      <c r="E250" s="40">
        <f>E251+E254</f>
        <v>402.1</v>
      </c>
      <c r="F250" s="40"/>
    </row>
    <row r="251" spans="1:6" s="1" customFormat="1" ht="20.25" customHeight="1">
      <c r="A251" s="58" t="s">
        <v>159</v>
      </c>
      <c r="B251" s="39" t="s">
        <v>64</v>
      </c>
      <c r="C251" s="39" t="s">
        <v>583</v>
      </c>
      <c r="D251" s="39"/>
      <c r="E251" s="40">
        <f>E252</f>
        <v>335.1</v>
      </c>
      <c r="F251" s="40"/>
    </row>
    <row r="252" spans="1:6" s="1" customFormat="1" ht="60.75" customHeight="1">
      <c r="A252" s="42" t="s">
        <v>331</v>
      </c>
      <c r="B252" s="39" t="s">
        <v>64</v>
      </c>
      <c r="C252" s="39" t="s">
        <v>583</v>
      </c>
      <c r="D252" s="39" t="s">
        <v>179</v>
      </c>
      <c r="E252" s="40">
        <f>E253</f>
        <v>335.1</v>
      </c>
      <c r="F252" s="40"/>
    </row>
    <row r="253" spans="1:6" s="1" customFormat="1" ht="19.5" customHeight="1">
      <c r="A253" s="42" t="s">
        <v>172</v>
      </c>
      <c r="B253" s="39" t="s">
        <v>64</v>
      </c>
      <c r="C253" s="39" t="s">
        <v>583</v>
      </c>
      <c r="D253" s="39" t="s">
        <v>171</v>
      </c>
      <c r="E253" s="40">
        <f>339.1-4</f>
        <v>335.1</v>
      </c>
      <c r="F253" s="40"/>
    </row>
    <row r="254" spans="1:6" s="1" customFormat="1" ht="32.25" customHeight="1">
      <c r="A254" s="58" t="s">
        <v>68</v>
      </c>
      <c r="B254" s="39" t="s">
        <v>64</v>
      </c>
      <c r="C254" s="39" t="s">
        <v>583</v>
      </c>
      <c r="D254" s="39"/>
      <c r="E254" s="40">
        <f>E255</f>
        <v>67</v>
      </c>
      <c r="F254" s="40"/>
    </row>
    <row r="255" spans="1:6" s="1" customFormat="1" ht="20.25" customHeight="1">
      <c r="A255" s="58" t="s">
        <v>174</v>
      </c>
      <c r="B255" s="39" t="s">
        <v>64</v>
      </c>
      <c r="C255" s="39" t="s">
        <v>583</v>
      </c>
      <c r="D255" s="39" t="s">
        <v>173</v>
      </c>
      <c r="E255" s="40">
        <f>E256</f>
        <v>67</v>
      </c>
      <c r="F255" s="40"/>
    </row>
    <row r="256" spans="1:6" s="1" customFormat="1" ht="32.25" customHeight="1">
      <c r="A256" s="58" t="s">
        <v>176</v>
      </c>
      <c r="B256" s="39" t="s">
        <v>64</v>
      </c>
      <c r="C256" s="39" t="s">
        <v>583</v>
      </c>
      <c r="D256" s="39" t="s">
        <v>175</v>
      </c>
      <c r="E256" s="40">
        <f>67</f>
        <v>67</v>
      </c>
      <c r="F256" s="40"/>
    </row>
    <row r="257" spans="1:6" s="1" customFormat="1" ht="16.5" customHeight="1">
      <c r="A257" s="49" t="s">
        <v>106</v>
      </c>
      <c r="B257" s="63" t="s">
        <v>145</v>
      </c>
      <c r="C257" s="63"/>
      <c r="D257" s="63"/>
      <c r="E257" s="13">
        <f>E258</f>
        <v>3595.4</v>
      </c>
      <c r="F257" s="40"/>
    </row>
    <row r="258" spans="1:6" s="1" customFormat="1" ht="17.25" customHeight="1">
      <c r="A258" s="41" t="s">
        <v>58</v>
      </c>
      <c r="B258" s="39" t="s">
        <v>145</v>
      </c>
      <c r="C258" s="47" t="s">
        <v>35</v>
      </c>
      <c r="D258" s="39"/>
      <c r="E258" s="40">
        <f>E259</f>
        <v>3595.4</v>
      </c>
      <c r="F258" s="40"/>
    </row>
    <row r="259" spans="1:6" s="1" customFormat="1" ht="17.25" customHeight="1">
      <c r="A259" s="46" t="s">
        <v>178</v>
      </c>
      <c r="B259" s="39" t="s">
        <v>145</v>
      </c>
      <c r="C259" s="47" t="str">
        <f>$C$258</f>
        <v>99 0 00 05000</v>
      </c>
      <c r="D259" s="39" t="s">
        <v>177</v>
      </c>
      <c r="E259" s="40">
        <f>E260</f>
        <v>3595.4</v>
      </c>
      <c r="F259" s="40"/>
    </row>
    <row r="260" spans="1:6" s="1" customFormat="1" ht="19.5" customHeight="1">
      <c r="A260" s="41" t="s">
        <v>56</v>
      </c>
      <c r="B260" s="39" t="s">
        <v>145</v>
      </c>
      <c r="C260" s="47" t="str">
        <f>$C$258</f>
        <v>99 0 00 05000</v>
      </c>
      <c r="D260" s="39" t="s">
        <v>55</v>
      </c>
      <c r="E260" s="40">
        <f>5000-1404.6</f>
        <v>3595.4</v>
      </c>
      <c r="F260" s="40"/>
    </row>
    <row r="261" spans="1:6" s="1" customFormat="1" ht="21" customHeight="1">
      <c r="A261" s="49" t="s">
        <v>134</v>
      </c>
      <c r="B261" s="63" t="s">
        <v>77</v>
      </c>
      <c r="C261" s="63"/>
      <c r="D261" s="63"/>
      <c r="E261" s="13">
        <f>E362+E269+E378+E262</f>
        <v>315778.60000000003</v>
      </c>
      <c r="F261" s="13">
        <f>F362+F269+F378+F262</f>
        <v>41724</v>
      </c>
    </row>
    <row r="262" spans="1:6" s="1" customFormat="1" ht="49.5" customHeight="1">
      <c r="A262" s="52" t="s">
        <v>266</v>
      </c>
      <c r="B262" s="47" t="s">
        <v>77</v>
      </c>
      <c r="C262" s="48" t="s">
        <v>135</v>
      </c>
      <c r="D262" s="69"/>
      <c r="E262" s="50">
        <f>E263</f>
        <v>8588</v>
      </c>
      <c r="F262" s="50">
        <f>F263</f>
        <v>8588</v>
      </c>
    </row>
    <row r="263" spans="1:6" s="1" customFormat="1" ht="27" customHeight="1">
      <c r="A263" s="36" t="s">
        <v>399</v>
      </c>
      <c r="B263" s="47" t="s">
        <v>77</v>
      </c>
      <c r="C263" s="48" t="s">
        <v>33</v>
      </c>
      <c r="D263" s="69"/>
      <c r="E263" s="50">
        <f>E264</f>
        <v>8588</v>
      </c>
      <c r="F263" s="50">
        <f>F264</f>
        <v>8588</v>
      </c>
    </row>
    <row r="264" spans="1:6" s="1" customFormat="1" ht="64.5" customHeight="1">
      <c r="A264" s="36" t="s">
        <v>705</v>
      </c>
      <c r="B264" s="47" t="s">
        <v>77</v>
      </c>
      <c r="C264" s="47" t="s">
        <v>426</v>
      </c>
      <c r="D264" s="47"/>
      <c r="E264" s="50">
        <f>E265+E267</f>
        <v>8588</v>
      </c>
      <c r="F264" s="50">
        <f>F265+F267</f>
        <v>8588</v>
      </c>
    </row>
    <row r="265" spans="1:6" s="1" customFormat="1" ht="60" customHeight="1">
      <c r="A265" s="46" t="s">
        <v>331</v>
      </c>
      <c r="B265" s="47" t="s">
        <v>77</v>
      </c>
      <c r="C265" s="47" t="s">
        <v>426</v>
      </c>
      <c r="D265" s="47" t="s">
        <v>179</v>
      </c>
      <c r="E265" s="50">
        <f>E266</f>
        <v>8538</v>
      </c>
      <c r="F265" s="50">
        <f>F266</f>
        <v>8538</v>
      </c>
    </row>
    <row r="266" spans="1:6" s="1" customFormat="1" ht="21" customHeight="1">
      <c r="A266" s="46" t="s">
        <v>172</v>
      </c>
      <c r="B266" s="47" t="s">
        <v>77</v>
      </c>
      <c r="C266" s="47" t="s">
        <v>426</v>
      </c>
      <c r="D266" s="47" t="s">
        <v>171</v>
      </c>
      <c r="E266" s="50">
        <f>8026+512</f>
        <v>8538</v>
      </c>
      <c r="F266" s="50">
        <f>E266</f>
        <v>8538</v>
      </c>
    </row>
    <row r="267" spans="1:6" s="1" customFormat="1" ht="21" customHeight="1">
      <c r="A267" s="46" t="s">
        <v>174</v>
      </c>
      <c r="B267" s="47" t="s">
        <v>77</v>
      </c>
      <c r="C267" s="47" t="s">
        <v>426</v>
      </c>
      <c r="D267" s="47" t="s">
        <v>173</v>
      </c>
      <c r="E267" s="50">
        <f>E268</f>
        <v>50</v>
      </c>
      <c r="F267" s="50">
        <f>F268</f>
        <v>50</v>
      </c>
    </row>
    <row r="268" spans="1:6" s="1" customFormat="1" ht="35.25" customHeight="1">
      <c r="A268" s="46" t="s">
        <v>176</v>
      </c>
      <c r="B268" s="47" t="s">
        <v>77</v>
      </c>
      <c r="C268" s="47" t="s">
        <v>426</v>
      </c>
      <c r="D268" s="47" t="s">
        <v>175</v>
      </c>
      <c r="E268" s="50">
        <f>50</f>
        <v>50</v>
      </c>
      <c r="F268" s="50">
        <f>E268</f>
        <v>50</v>
      </c>
    </row>
    <row r="269" spans="1:6" s="1" customFormat="1" ht="22.5" customHeight="1">
      <c r="A269" s="36" t="s">
        <v>245</v>
      </c>
      <c r="B269" s="39" t="s">
        <v>77</v>
      </c>
      <c r="C269" s="38" t="s">
        <v>20</v>
      </c>
      <c r="D269" s="39"/>
      <c r="E269" s="40">
        <f>E282+E270</f>
        <v>165445.30000000002</v>
      </c>
      <c r="F269" s="40">
        <f>F282+F270</f>
        <v>24470</v>
      </c>
    </row>
    <row r="270" spans="1:6" s="1" customFormat="1" ht="50.25" customHeight="1">
      <c r="A270" s="36" t="s">
        <v>312</v>
      </c>
      <c r="B270" s="39" t="s">
        <v>77</v>
      </c>
      <c r="C270" s="47" t="s">
        <v>203</v>
      </c>
      <c r="D270" s="47"/>
      <c r="E270" s="50">
        <f>E271+E274</f>
        <v>7932</v>
      </c>
      <c r="F270" s="50">
        <f aca="true" t="shared" si="1" ref="E270:F272">F271</f>
        <v>6201</v>
      </c>
    </row>
    <row r="271" spans="1:6" s="1" customFormat="1" ht="95.25" customHeight="1">
      <c r="A271" s="36" t="s">
        <v>280</v>
      </c>
      <c r="B271" s="39" t="s">
        <v>77</v>
      </c>
      <c r="C271" s="47" t="s">
        <v>427</v>
      </c>
      <c r="D271" s="47"/>
      <c r="E271" s="50">
        <f>E272</f>
        <v>6201</v>
      </c>
      <c r="F271" s="50">
        <f>F272</f>
        <v>6201</v>
      </c>
    </row>
    <row r="272" spans="1:6" s="1" customFormat="1" ht="65.25" customHeight="1">
      <c r="A272" s="46" t="s">
        <v>331</v>
      </c>
      <c r="B272" s="39" t="s">
        <v>77</v>
      </c>
      <c r="C272" s="47" t="s">
        <v>427</v>
      </c>
      <c r="D272" s="47" t="s">
        <v>179</v>
      </c>
      <c r="E272" s="50">
        <f t="shared" si="1"/>
        <v>6201</v>
      </c>
      <c r="F272" s="50">
        <f t="shared" si="1"/>
        <v>6201</v>
      </c>
    </row>
    <row r="273" spans="1:6" s="1" customFormat="1" ht="22.5" customHeight="1">
      <c r="A273" s="46" t="s">
        <v>172</v>
      </c>
      <c r="B273" s="39" t="s">
        <v>77</v>
      </c>
      <c r="C273" s="47" t="s">
        <v>427</v>
      </c>
      <c r="D273" s="47" t="s">
        <v>171</v>
      </c>
      <c r="E273" s="50">
        <f>5713+488</f>
        <v>6201</v>
      </c>
      <c r="F273" s="50">
        <f>E273</f>
        <v>6201</v>
      </c>
    </row>
    <row r="274" spans="1:6" s="1" customFormat="1" ht="47.25" customHeight="1">
      <c r="A274" s="36" t="s">
        <v>312</v>
      </c>
      <c r="B274" s="47" t="s">
        <v>77</v>
      </c>
      <c r="C274" s="47" t="s">
        <v>203</v>
      </c>
      <c r="D274" s="47"/>
      <c r="E274" s="50">
        <f>E275</f>
        <v>1731</v>
      </c>
      <c r="F274" s="50">
        <f>F275</f>
        <v>0</v>
      </c>
    </row>
    <row r="275" spans="1:6" s="1" customFormat="1" ht="22.5" customHeight="1">
      <c r="A275" s="60" t="s">
        <v>116</v>
      </c>
      <c r="B275" s="47" t="s">
        <v>77</v>
      </c>
      <c r="C275" s="47" t="s">
        <v>215</v>
      </c>
      <c r="D275" s="47"/>
      <c r="E275" s="50">
        <f>E276+E279</f>
        <v>1731</v>
      </c>
      <c r="F275" s="50">
        <f>F277+F279</f>
        <v>0</v>
      </c>
    </row>
    <row r="276" spans="1:6" s="1" customFormat="1" ht="18.75" customHeight="1">
      <c r="A276" s="46" t="s">
        <v>158</v>
      </c>
      <c r="B276" s="47" t="s">
        <v>77</v>
      </c>
      <c r="C276" s="47" t="s">
        <v>257</v>
      </c>
      <c r="D276" s="47"/>
      <c r="E276" s="50">
        <f>E277</f>
        <v>744</v>
      </c>
      <c r="F276" s="50"/>
    </row>
    <row r="277" spans="1:6" s="1" customFormat="1" ht="63.75" customHeight="1">
      <c r="A277" s="46" t="s">
        <v>331</v>
      </c>
      <c r="B277" s="47" t="s">
        <v>77</v>
      </c>
      <c r="C277" s="47" t="s">
        <v>257</v>
      </c>
      <c r="D277" s="47" t="s">
        <v>179</v>
      </c>
      <c r="E277" s="50">
        <f>E278</f>
        <v>744</v>
      </c>
      <c r="F277" s="50"/>
    </row>
    <row r="278" spans="1:6" s="1" customFormat="1" ht="21.75" customHeight="1">
      <c r="A278" s="46" t="s">
        <v>172</v>
      </c>
      <c r="B278" s="47" t="s">
        <v>77</v>
      </c>
      <c r="C278" s="47" t="s">
        <v>257</v>
      </c>
      <c r="D278" s="47" t="s">
        <v>171</v>
      </c>
      <c r="E278" s="50">
        <f>603.9+118+22.1</f>
        <v>744</v>
      </c>
      <c r="F278" s="50"/>
    </row>
    <row r="279" spans="1:6" s="1" customFormat="1" ht="30" customHeight="1">
      <c r="A279" s="46" t="s">
        <v>68</v>
      </c>
      <c r="B279" s="47" t="s">
        <v>77</v>
      </c>
      <c r="C279" s="47" t="s">
        <v>216</v>
      </c>
      <c r="D279" s="47"/>
      <c r="E279" s="50">
        <f>E280</f>
        <v>987</v>
      </c>
      <c r="F279" s="50"/>
    </row>
    <row r="280" spans="1:6" s="1" customFormat="1" ht="22.5" customHeight="1">
      <c r="A280" s="46" t="s">
        <v>174</v>
      </c>
      <c r="B280" s="47" t="s">
        <v>77</v>
      </c>
      <c r="C280" s="47" t="s">
        <v>216</v>
      </c>
      <c r="D280" s="47" t="s">
        <v>173</v>
      </c>
      <c r="E280" s="50">
        <f>E281</f>
        <v>987</v>
      </c>
      <c r="F280" s="50"/>
    </row>
    <row r="281" spans="1:6" s="1" customFormat="1" ht="30" customHeight="1">
      <c r="A281" s="46" t="s">
        <v>176</v>
      </c>
      <c r="B281" s="47" t="s">
        <v>77</v>
      </c>
      <c r="C281" s="47" t="s">
        <v>216</v>
      </c>
      <c r="D281" s="47" t="s">
        <v>175</v>
      </c>
      <c r="E281" s="50">
        <f>987</f>
        <v>987</v>
      </c>
      <c r="F281" s="50"/>
    </row>
    <row r="282" spans="1:6" s="1" customFormat="1" ht="21" customHeight="1">
      <c r="A282" s="41" t="s">
        <v>41</v>
      </c>
      <c r="B282" s="39" t="s">
        <v>77</v>
      </c>
      <c r="C282" s="39" t="s">
        <v>21</v>
      </c>
      <c r="D282" s="39"/>
      <c r="E282" s="40">
        <f>E301+E298+E283+E286+E292+E289+E295</f>
        <v>157513.30000000002</v>
      </c>
      <c r="F282" s="40">
        <f>F301+F298+F283+F286+F292+F289+F295</f>
        <v>18269</v>
      </c>
    </row>
    <row r="283" spans="1:6" s="1" customFormat="1" ht="78.75" customHeight="1">
      <c r="A283" s="58" t="s">
        <v>287</v>
      </c>
      <c r="B283" s="39" t="s">
        <v>77</v>
      </c>
      <c r="C283" s="47" t="s">
        <v>534</v>
      </c>
      <c r="D283" s="47"/>
      <c r="E283" s="50">
        <f>E284</f>
        <v>78720</v>
      </c>
      <c r="F283" s="50">
        <f>F285</f>
        <v>0</v>
      </c>
    </row>
    <row r="284" spans="1:6" s="1" customFormat="1" ht="21" customHeight="1">
      <c r="A284" s="46" t="s">
        <v>178</v>
      </c>
      <c r="B284" s="39" t="s">
        <v>77</v>
      </c>
      <c r="C284" s="47" t="s">
        <v>534</v>
      </c>
      <c r="D284" s="47" t="s">
        <v>177</v>
      </c>
      <c r="E284" s="50">
        <f>E285</f>
        <v>78720</v>
      </c>
      <c r="F284" s="50"/>
    </row>
    <row r="285" spans="1:6" s="1" customFormat="1" ht="21" customHeight="1">
      <c r="A285" s="46" t="s">
        <v>344</v>
      </c>
      <c r="B285" s="39" t="s">
        <v>77</v>
      </c>
      <c r="C285" s="47" t="s">
        <v>534</v>
      </c>
      <c r="D285" s="47" t="s">
        <v>343</v>
      </c>
      <c r="E285" s="50">
        <f>78720</f>
        <v>78720</v>
      </c>
      <c r="F285" s="50">
        <v>0</v>
      </c>
    </row>
    <row r="286" spans="1:6" s="1" customFormat="1" ht="89.25" customHeight="1">
      <c r="A286" s="58" t="s">
        <v>634</v>
      </c>
      <c r="B286" s="39" t="s">
        <v>77</v>
      </c>
      <c r="C286" s="47" t="s">
        <v>635</v>
      </c>
      <c r="D286" s="47"/>
      <c r="E286" s="50">
        <f>E287</f>
        <v>687.1</v>
      </c>
      <c r="F286" s="50">
        <f>F288</f>
        <v>0</v>
      </c>
    </row>
    <row r="287" spans="1:6" s="1" customFormat="1" ht="21" customHeight="1">
      <c r="A287" s="46" t="s">
        <v>178</v>
      </c>
      <c r="B287" s="39" t="s">
        <v>77</v>
      </c>
      <c r="C287" s="47" t="s">
        <v>635</v>
      </c>
      <c r="D287" s="47" t="s">
        <v>177</v>
      </c>
      <c r="E287" s="50">
        <f>E288</f>
        <v>687.1</v>
      </c>
      <c r="F287" s="50"/>
    </row>
    <row r="288" spans="1:6" s="1" customFormat="1" ht="21" customHeight="1">
      <c r="A288" s="46" t="s">
        <v>344</v>
      </c>
      <c r="B288" s="39" t="s">
        <v>77</v>
      </c>
      <c r="C288" s="47" t="s">
        <v>635</v>
      </c>
      <c r="D288" s="47" t="s">
        <v>343</v>
      </c>
      <c r="E288" s="50">
        <f>96.9+34.5+245.3+15.5-18+9.5+45.2+19.8+82.4+115+41</f>
        <v>687.1</v>
      </c>
      <c r="F288" s="50">
        <v>0</v>
      </c>
    </row>
    <row r="289" spans="1:6" s="1" customFormat="1" ht="91.5" customHeight="1">
      <c r="A289" s="58" t="s">
        <v>697</v>
      </c>
      <c r="B289" s="47" t="s">
        <v>77</v>
      </c>
      <c r="C289" s="47" t="s">
        <v>698</v>
      </c>
      <c r="D289" s="47"/>
      <c r="E289" s="50">
        <f>E290</f>
        <v>2487.7000000000003</v>
      </c>
      <c r="F289" s="50">
        <f>F291</f>
        <v>0</v>
      </c>
    </row>
    <row r="290" spans="1:6" s="1" customFormat="1" ht="21" customHeight="1">
      <c r="A290" s="46" t="s">
        <v>178</v>
      </c>
      <c r="B290" s="47" t="s">
        <v>77</v>
      </c>
      <c r="C290" s="47" t="s">
        <v>698</v>
      </c>
      <c r="D290" s="47" t="s">
        <v>177</v>
      </c>
      <c r="E290" s="50">
        <f>E291</f>
        <v>2487.7000000000003</v>
      </c>
      <c r="F290" s="50"/>
    </row>
    <row r="291" spans="1:6" s="1" customFormat="1" ht="21" customHeight="1">
      <c r="A291" s="46" t="s">
        <v>344</v>
      </c>
      <c r="B291" s="47" t="s">
        <v>77</v>
      </c>
      <c r="C291" s="47" t="s">
        <v>698</v>
      </c>
      <c r="D291" s="47" t="s">
        <v>343</v>
      </c>
      <c r="E291" s="50">
        <f>2125.3+268.2+18+20.3+55.9</f>
        <v>2487.7000000000003</v>
      </c>
      <c r="F291" s="50">
        <v>0</v>
      </c>
    </row>
    <row r="292" spans="1:6" s="1" customFormat="1" ht="32.25" customHeight="1">
      <c r="A292" s="46" t="s">
        <v>68</v>
      </c>
      <c r="B292" s="39" t="s">
        <v>77</v>
      </c>
      <c r="C292" s="39" t="s">
        <v>32</v>
      </c>
      <c r="D292" s="39"/>
      <c r="E292" s="50">
        <f>E293</f>
        <v>352.7</v>
      </c>
      <c r="F292" s="50"/>
    </row>
    <row r="293" spans="1:6" s="1" customFormat="1" ht="21" customHeight="1">
      <c r="A293" s="46" t="s">
        <v>178</v>
      </c>
      <c r="B293" s="39" t="s">
        <v>77</v>
      </c>
      <c r="C293" s="39" t="s">
        <v>32</v>
      </c>
      <c r="D293" s="39" t="s">
        <v>177</v>
      </c>
      <c r="E293" s="40">
        <f>E294</f>
        <v>352.7</v>
      </c>
      <c r="F293" s="50"/>
    </row>
    <row r="294" spans="1:6" s="1" customFormat="1" ht="21" customHeight="1">
      <c r="A294" s="46" t="s">
        <v>335</v>
      </c>
      <c r="B294" s="39" t="s">
        <v>77</v>
      </c>
      <c r="C294" s="39" t="s">
        <v>32</v>
      </c>
      <c r="D294" s="39" t="s">
        <v>334</v>
      </c>
      <c r="E294" s="40">
        <v>352.7</v>
      </c>
      <c r="F294" s="50"/>
    </row>
    <row r="295" spans="1:6" s="1" customFormat="1" ht="63" customHeight="1">
      <c r="A295" s="46" t="s">
        <v>727</v>
      </c>
      <c r="B295" s="47" t="s">
        <v>77</v>
      </c>
      <c r="C295" s="47" t="s">
        <v>728</v>
      </c>
      <c r="D295" s="47"/>
      <c r="E295" s="40">
        <f>E296</f>
        <v>73</v>
      </c>
      <c r="F295" s="40">
        <f>F296</f>
        <v>73</v>
      </c>
    </row>
    <row r="296" spans="1:6" s="1" customFormat="1" ht="21" customHeight="1">
      <c r="A296" s="46" t="s">
        <v>174</v>
      </c>
      <c r="B296" s="47" t="s">
        <v>77</v>
      </c>
      <c r="C296" s="47" t="s">
        <v>728</v>
      </c>
      <c r="D296" s="47" t="s">
        <v>173</v>
      </c>
      <c r="E296" s="40">
        <f>E297</f>
        <v>73</v>
      </c>
      <c r="F296" s="40">
        <f>F297</f>
        <v>73</v>
      </c>
    </row>
    <row r="297" spans="1:6" s="1" customFormat="1" ht="32.25" customHeight="1">
      <c r="A297" s="46" t="s">
        <v>176</v>
      </c>
      <c r="B297" s="47" t="s">
        <v>77</v>
      </c>
      <c r="C297" s="47" t="s">
        <v>728</v>
      </c>
      <c r="D297" s="47" t="s">
        <v>175</v>
      </c>
      <c r="E297" s="40">
        <f>73</f>
        <v>73</v>
      </c>
      <c r="F297" s="40">
        <f>E297</f>
        <v>73</v>
      </c>
    </row>
    <row r="298" spans="1:6" s="1" customFormat="1" ht="45" customHeight="1">
      <c r="A298" s="46" t="s">
        <v>326</v>
      </c>
      <c r="B298" s="39" t="s">
        <v>77</v>
      </c>
      <c r="C298" s="47" t="s">
        <v>429</v>
      </c>
      <c r="D298" s="39"/>
      <c r="E298" s="40">
        <f>E299</f>
        <v>18196</v>
      </c>
      <c r="F298" s="40">
        <f>F299+F301</f>
        <v>18196</v>
      </c>
    </row>
    <row r="299" spans="1:6" s="1" customFormat="1" ht="64.5" customHeight="1">
      <c r="A299" s="43" t="s">
        <v>331</v>
      </c>
      <c r="B299" s="39" t="s">
        <v>77</v>
      </c>
      <c r="C299" s="47" t="s">
        <v>429</v>
      </c>
      <c r="D299" s="39" t="s">
        <v>179</v>
      </c>
      <c r="E299" s="40">
        <f>E300</f>
        <v>18196</v>
      </c>
      <c r="F299" s="40">
        <f>F300</f>
        <v>18196</v>
      </c>
    </row>
    <row r="300" spans="1:6" s="1" customFormat="1" ht="24.75" customHeight="1">
      <c r="A300" s="42" t="s">
        <v>172</v>
      </c>
      <c r="B300" s="39" t="s">
        <v>77</v>
      </c>
      <c r="C300" s="47" t="s">
        <v>429</v>
      </c>
      <c r="D300" s="39" t="s">
        <v>171</v>
      </c>
      <c r="E300" s="40">
        <f>16783+1413</f>
        <v>18196</v>
      </c>
      <c r="F300" s="40">
        <f>E300</f>
        <v>18196</v>
      </c>
    </row>
    <row r="301" spans="1:6" s="1" customFormat="1" ht="29.25" customHeight="1">
      <c r="A301" s="41" t="s">
        <v>340</v>
      </c>
      <c r="B301" s="39" t="s">
        <v>77</v>
      </c>
      <c r="C301" s="39" t="s">
        <v>421</v>
      </c>
      <c r="D301" s="39"/>
      <c r="E301" s="40">
        <f>E302+E309+E316</f>
        <v>56996.8</v>
      </c>
      <c r="F301" s="40"/>
    </row>
    <row r="302" spans="1:6" s="1" customFormat="1" ht="30.75" customHeight="1">
      <c r="A302" s="106" t="s">
        <v>262</v>
      </c>
      <c r="B302" s="39" t="s">
        <v>77</v>
      </c>
      <c r="C302" s="39" t="s">
        <v>414</v>
      </c>
      <c r="D302" s="121"/>
      <c r="E302" s="40">
        <f>E303+E305+E307</f>
        <v>45656.8</v>
      </c>
      <c r="F302" s="40"/>
    </row>
    <row r="303" spans="1:6" s="1" customFormat="1" ht="60.75" customHeight="1">
      <c r="A303" s="43" t="s">
        <v>331</v>
      </c>
      <c r="B303" s="39" t="s">
        <v>77</v>
      </c>
      <c r="C303" s="39" t="s">
        <v>414</v>
      </c>
      <c r="D303" s="39" t="s">
        <v>179</v>
      </c>
      <c r="E303" s="40">
        <f>E304</f>
        <v>30214.5</v>
      </c>
      <c r="F303" s="40"/>
    </row>
    <row r="304" spans="1:6" s="1" customFormat="1" ht="21.75" customHeight="1">
      <c r="A304" s="43" t="s">
        <v>333</v>
      </c>
      <c r="B304" s="39" t="s">
        <v>77</v>
      </c>
      <c r="C304" s="39" t="s">
        <v>414</v>
      </c>
      <c r="D304" s="37" t="s">
        <v>332</v>
      </c>
      <c r="E304" s="44">
        <f>23114.3+7100.2</f>
        <v>30214.5</v>
      </c>
      <c r="F304" s="44"/>
    </row>
    <row r="305" spans="1:6" s="1" customFormat="1" ht="22.5" customHeight="1">
      <c r="A305" s="46" t="s">
        <v>174</v>
      </c>
      <c r="B305" s="39" t="s">
        <v>77</v>
      </c>
      <c r="C305" s="39" t="s">
        <v>414</v>
      </c>
      <c r="D305" s="39" t="s">
        <v>173</v>
      </c>
      <c r="E305" s="44">
        <f>E306</f>
        <v>14742.3</v>
      </c>
      <c r="F305" s="44"/>
    </row>
    <row r="306" spans="1:6" s="1" customFormat="1" ht="31.5" customHeight="1">
      <c r="A306" s="46" t="s">
        <v>176</v>
      </c>
      <c r="B306" s="39" t="s">
        <v>77</v>
      </c>
      <c r="C306" s="39" t="s">
        <v>414</v>
      </c>
      <c r="D306" s="37" t="s">
        <v>175</v>
      </c>
      <c r="E306" s="44">
        <f>16185.7-7100.2+1000+4656.8</f>
        <v>14742.3</v>
      </c>
      <c r="F306" s="44"/>
    </row>
    <row r="307" spans="1:6" s="1" customFormat="1" ht="20.25" customHeight="1">
      <c r="A307" s="46" t="s">
        <v>178</v>
      </c>
      <c r="B307" s="39" t="s">
        <v>77</v>
      </c>
      <c r="C307" s="39" t="s">
        <v>414</v>
      </c>
      <c r="D307" s="39" t="s">
        <v>177</v>
      </c>
      <c r="E307" s="44">
        <f>E308</f>
        <v>700</v>
      </c>
      <c r="F307" s="44"/>
    </row>
    <row r="308" spans="1:6" s="1" customFormat="1" ht="20.25" customHeight="1">
      <c r="A308" s="46" t="s">
        <v>335</v>
      </c>
      <c r="B308" s="39" t="s">
        <v>77</v>
      </c>
      <c r="C308" s="39" t="s">
        <v>414</v>
      </c>
      <c r="D308" s="39" t="s">
        <v>334</v>
      </c>
      <c r="E308" s="44">
        <f>700</f>
        <v>700</v>
      </c>
      <c r="F308" s="44"/>
    </row>
    <row r="309" spans="1:6" s="1" customFormat="1" ht="33" customHeight="1">
      <c r="A309" s="60" t="s">
        <v>263</v>
      </c>
      <c r="B309" s="39" t="s">
        <v>77</v>
      </c>
      <c r="C309" s="39" t="s">
        <v>198</v>
      </c>
      <c r="D309" s="47"/>
      <c r="E309" s="50">
        <f>E310+E312+E314</f>
        <v>7690.8</v>
      </c>
      <c r="F309" s="44"/>
    </row>
    <row r="310" spans="1:6" s="1" customFormat="1" ht="60" customHeight="1">
      <c r="A310" s="46" t="s">
        <v>331</v>
      </c>
      <c r="B310" s="39" t="s">
        <v>77</v>
      </c>
      <c r="C310" s="39" t="s">
        <v>198</v>
      </c>
      <c r="D310" s="48" t="s">
        <v>179</v>
      </c>
      <c r="E310" s="53">
        <f>E311</f>
        <v>6264.1</v>
      </c>
      <c r="F310" s="44"/>
    </row>
    <row r="311" spans="1:6" s="1" customFormat="1" ht="20.25" customHeight="1">
      <c r="A311" s="58" t="s">
        <v>333</v>
      </c>
      <c r="B311" s="39" t="s">
        <v>77</v>
      </c>
      <c r="C311" s="39" t="s">
        <v>198</v>
      </c>
      <c r="D311" s="47" t="s">
        <v>332</v>
      </c>
      <c r="E311" s="50">
        <f>6264.1</f>
        <v>6264.1</v>
      </c>
      <c r="F311" s="44"/>
    </row>
    <row r="312" spans="1:6" s="1" customFormat="1" ht="20.25" customHeight="1">
      <c r="A312" s="46" t="s">
        <v>174</v>
      </c>
      <c r="B312" s="39" t="s">
        <v>77</v>
      </c>
      <c r="C312" s="39" t="s">
        <v>198</v>
      </c>
      <c r="D312" s="48" t="s">
        <v>173</v>
      </c>
      <c r="E312" s="53">
        <f>E313</f>
        <v>1414.7</v>
      </c>
      <c r="F312" s="44"/>
    </row>
    <row r="313" spans="1:6" s="1" customFormat="1" ht="33" customHeight="1">
      <c r="A313" s="58" t="s">
        <v>176</v>
      </c>
      <c r="B313" s="39" t="s">
        <v>77</v>
      </c>
      <c r="C313" s="39" t="s">
        <v>198</v>
      </c>
      <c r="D313" s="47" t="s">
        <v>175</v>
      </c>
      <c r="E313" s="50">
        <f>1414.7</f>
        <v>1414.7</v>
      </c>
      <c r="F313" s="44"/>
    </row>
    <row r="314" spans="1:6" s="1" customFormat="1" ht="20.25" customHeight="1">
      <c r="A314" s="46" t="s">
        <v>178</v>
      </c>
      <c r="B314" s="39" t="s">
        <v>77</v>
      </c>
      <c r="C314" s="39" t="s">
        <v>198</v>
      </c>
      <c r="D314" s="48" t="s">
        <v>177</v>
      </c>
      <c r="E314" s="53">
        <f>E315</f>
        <v>12</v>
      </c>
      <c r="F314" s="44"/>
    </row>
    <row r="315" spans="1:6" s="1" customFormat="1" ht="20.25" customHeight="1">
      <c r="A315" s="58" t="s">
        <v>335</v>
      </c>
      <c r="B315" s="39" t="s">
        <v>77</v>
      </c>
      <c r="C315" s="39" t="s">
        <v>198</v>
      </c>
      <c r="D315" s="48" t="s">
        <v>334</v>
      </c>
      <c r="E315" s="53">
        <f>12</f>
        <v>12</v>
      </c>
      <c r="F315" s="44"/>
    </row>
    <row r="316" spans="1:6" s="1" customFormat="1" ht="46.5" customHeight="1">
      <c r="A316" s="60" t="s">
        <v>557</v>
      </c>
      <c r="B316" s="39" t="s">
        <v>77</v>
      </c>
      <c r="C316" s="39" t="s">
        <v>558</v>
      </c>
      <c r="D316" s="47"/>
      <c r="E316" s="50">
        <f>E317</f>
        <v>3649.2</v>
      </c>
      <c r="F316" s="44"/>
    </row>
    <row r="317" spans="1:6" s="1" customFormat="1" ht="44.25" customHeight="1">
      <c r="A317" s="58" t="s">
        <v>608</v>
      </c>
      <c r="B317" s="39" t="s">
        <v>77</v>
      </c>
      <c r="C317" s="39" t="s">
        <v>558</v>
      </c>
      <c r="D317" s="47"/>
      <c r="E317" s="50">
        <f>E318+E320</f>
        <v>3649.2</v>
      </c>
      <c r="F317" s="44"/>
    </row>
    <row r="318" spans="1:6" s="1" customFormat="1" ht="61.5" customHeight="1">
      <c r="A318" s="58" t="s">
        <v>331</v>
      </c>
      <c r="B318" s="39" t="s">
        <v>77</v>
      </c>
      <c r="C318" s="39" t="s">
        <v>558</v>
      </c>
      <c r="D318" s="47" t="s">
        <v>179</v>
      </c>
      <c r="E318" s="50">
        <f>E319</f>
        <v>3048.7</v>
      </c>
      <c r="F318" s="44"/>
    </row>
    <row r="319" spans="1:6" s="1" customFormat="1" ht="24.75" customHeight="1">
      <c r="A319" s="58" t="s">
        <v>333</v>
      </c>
      <c r="B319" s="39" t="s">
        <v>77</v>
      </c>
      <c r="C319" s="39" t="s">
        <v>558</v>
      </c>
      <c r="D319" s="47" t="s">
        <v>332</v>
      </c>
      <c r="E319" s="50">
        <f>E329+E324+E334+E339+E349+E354+E359+E344</f>
        <v>3048.7</v>
      </c>
      <c r="F319" s="44"/>
    </row>
    <row r="320" spans="1:6" s="1" customFormat="1" ht="20.25" customHeight="1">
      <c r="A320" s="58" t="s">
        <v>174</v>
      </c>
      <c r="B320" s="39" t="s">
        <v>77</v>
      </c>
      <c r="C320" s="39" t="s">
        <v>558</v>
      </c>
      <c r="D320" s="47" t="s">
        <v>173</v>
      </c>
      <c r="E320" s="50">
        <f>E321</f>
        <v>600.4999999999999</v>
      </c>
      <c r="F320" s="44"/>
    </row>
    <row r="321" spans="1:6" s="1" customFormat="1" ht="36" customHeight="1">
      <c r="A321" s="58" t="s">
        <v>176</v>
      </c>
      <c r="B321" s="39" t="s">
        <v>77</v>
      </c>
      <c r="C321" s="39" t="s">
        <v>558</v>
      </c>
      <c r="D321" s="47" t="s">
        <v>175</v>
      </c>
      <c r="E321" s="50">
        <f>E331+E326+E336+E341+E351+E356+E361+E346</f>
        <v>600.4999999999999</v>
      </c>
      <c r="F321" s="44"/>
    </row>
    <row r="322" spans="1:6" s="1" customFormat="1" ht="58.5" customHeight="1">
      <c r="A322" s="58" t="s">
        <v>604</v>
      </c>
      <c r="B322" s="39" t="s">
        <v>77</v>
      </c>
      <c r="C322" s="39" t="s">
        <v>605</v>
      </c>
      <c r="D322" s="47"/>
      <c r="E322" s="50">
        <f>E323+E325</f>
        <v>201</v>
      </c>
      <c r="F322" s="44"/>
    </row>
    <row r="323" spans="1:6" s="1" customFormat="1" ht="45" customHeight="1">
      <c r="A323" s="58" t="s">
        <v>331</v>
      </c>
      <c r="B323" s="39" t="s">
        <v>77</v>
      </c>
      <c r="C323" s="39" t="s">
        <v>605</v>
      </c>
      <c r="D323" s="47" t="s">
        <v>179</v>
      </c>
      <c r="E323" s="50">
        <f>E324</f>
        <v>167.5</v>
      </c>
      <c r="F323" s="44"/>
    </row>
    <row r="324" spans="1:6" s="1" customFormat="1" ht="21.75" customHeight="1">
      <c r="A324" s="58" t="s">
        <v>333</v>
      </c>
      <c r="B324" s="39" t="s">
        <v>77</v>
      </c>
      <c r="C324" s="39" t="s">
        <v>605</v>
      </c>
      <c r="D324" s="47" t="s">
        <v>332</v>
      </c>
      <c r="E324" s="50">
        <f>167.5</f>
        <v>167.5</v>
      </c>
      <c r="F324" s="44"/>
    </row>
    <row r="325" spans="1:6" s="1" customFormat="1" ht="21" customHeight="1">
      <c r="A325" s="58" t="s">
        <v>174</v>
      </c>
      <c r="B325" s="39" t="s">
        <v>77</v>
      </c>
      <c r="C325" s="39" t="s">
        <v>605</v>
      </c>
      <c r="D325" s="47" t="s">
        <v>173</v>
      </c>
      <c r="E325" s="50">
        <f>E326</f>
        <v>33.5</v>
      </c>
      <c r="F325" s="44"/>
    </row>
    <row r="326" spans="1:6" s="1" customFormat="1" ht="32.25" customHeight="1">
      <c r="A326" s="58" t="s">
        <v>176</v>
      </c>
      <c r="B326" s="39" t="s">
        <v>77</v>
      </c>
      <c r="C326" s="39" t="s">
        <v>605</v>
      </c>
      <c r="D326" s="47" t="s">
        <v>175</v>
      </c>
      <c r="E326" s="50">
        <f>33.5</f>
        <v>33.5</v>
      </c>
      <c r="F326" s="44"/>
    </row>
    <row r="327" spans="1:6" s="1" customFormat="1" ht="60.75" customHeight="1">
      <c r="A327" s="58" t="s">
        <v>559</v>
      </c>
      <c r="B327" s="39" t="s">
        <v>77</v>
      </c>
      <c r="C327" s="39" t="s">
        <v>560</v>
      </c>
      <c r="D327" s="47"/>
      <c r="E327" s="50">
        <f>E328+E330</f>
        <v>2412.2</v>
      </c>
      <c r="F327" s="44"/>
    </row>
    <row r="328" spans="1:6" s="1" customFormat="1" ht="60.75" customHeight="1">
      <c r="A328" s="58" t="s">
        <v>331</v>
      </c>
      <c r="B328" s="39" t="s">
        <v>77</v>
      </c>
      <c r="C328" s="39" t="s">
        <v>560</v>
      </c>
      <c r="D328" s="47" t="s">
        <v>179</v>
      </c>
      <c r="E328" s="50">
        <f>E329</f>
        <v>2010.2</v>
      </c>
      <c r="F328" s="44"/>
    </row>
    <row r="329" spans="1:6" s="1" customFormat="1" ht="24" customHeight="1">
      <c r="A329" s="58" t="s">
        <v>333</v>
      </c>
      <c r="B329" s="39" t="s">
        <v>77</v>
      </c>
      <c r="C329" s="39" t="s">
        <v>560</v>
      </c>
      <c r="D329" s="47" t="s">
        <v>332</v>
      </c>
      <c r="E329" s="50">
        <v>2010.2</v>
      </c>
      <c r="F329" s="44"/>
    </row>
    <row r="330" spans="1:6" s="1" customFormat="1" ht="20.25" customHeight="1">
      <c r="A330" s="58" t="s">
        <v>174</v>
      </c>
      <c r="B330" s="39" t="s">
        <v>77</v>
      </c>
      <c r="C330" s="39" t="s">
        <v>560</v>
      </c>
      <c r="D330" s="47" t="s">
        <v>173</v>
      </c>
      <c r="E330" s="50">
        <f>E331</f>
        <v>402</v>
      </c>
      <c r="F330" s="44"/>
    </row>
    <row r="331" spans="1:6" s="1" customFormat="1" ht="36" customHeight="1">
      <c r="A331" s="58" t="s">
        <v>176</v>
      </c>
      <c r="B331" s="39" t="s">
        <v>77</v>
      </c>
      <c r="C331" s="39" t="s">
        <v>560</v>
      </c>
      <c r="D331" s="47" t="s">
        <v>175</v>
      </c>
      <c r="E331" s="50">
        <v>402</v>
      </c>
      <c r="F331" s="44"/>
    </row>
    <row r="332" spans="1:6" s="1" customFormat="1" ht="59.25" customHeight="1">
      <c r="A332" s="58" t="s">
        <v>594</v>
      </c>
      <c r="B332" s="47" t="s">
        <v>77</v>
      </c>
      <c r="C332" s="47" t="s">
        <v>595</v>
      </c>
      <c r="D332" s="47"/>
      <c r="E332" s="50">
        <f>E333+E335</f>
        <v>402</v>
      </c>
      <c r="F332" s="44"/>
    </row>
    <row r="333" spans="1:6" s="1" customFormat="1" ht="58.5" customHeight="1">
      <c r="A333" s="58" t="s">
        <v>331</v>
      </c>
      <c r="B333" s="39" t="s">
        <v>77</v>
      </c>
      <c r="C333" s="39" t="s">
        <v>595</v>
      </c>
      <c r="D333" s="47" t="s">
        <v>179</v>
      </c>
      <c r="E333" s="50">
        <f>E334</f>
        <v>335</v>
      </c>
      <c r="F333" s="44"/>
    </row>
    <row r="334" spans="1:6" s="1" customFormat="1" ht="21" customHeight="1">
      <c r="A334" s="58" t="s">
        <v>333</v>
      </c>
      <c r="B334" s="39" t="s">
        <v>77</v>
      </c>
      <c r="C334" s="39" t="s">
        <v>595</v>
      </c>
      <c r="D334" s="47" t="s">
        <v>332</v>
      </c>
      <c r="E334" s="50">
        <f>335</f>
        <v>335</v>
      </c>
      <c r="F334" s="44"/>
    </row>
    <row r="335" spans="1:6" s="1" customFormat="1" ht="22.5" customHeight="1">
      <c r="A335" s="58" t="s">
        <v>174</v>
      </c>
      <c r="B335" s="39" t="s">
        <v>77</v>
      </c>
      <c r="C335" s="39" t="s">
        <v>595</v>
      </c>
      <c r="D335" s="47" t="s">
        <v>173</v>
      </c>
      <c r="E335" s="50">
        <f>E336</f>
        <v>67</v>
      </c>
      <c r="F335" s="44"/>
    </row>
    <row r="336" spans="1:6" s="1" customFormat="1" ht="36" customHeight="1">
      <c r="A336" s="58" t="s">
        <v>176</v>
      </c>
      <c r="B336" s="39" t="s">
        <v>77</v>
      </c>
      <c r="C336" s="39" t="s">
        <v>595</v>
      </c>
      <c r="D336" s="47" t="s">
        <v>175</v>
      </c>
      <c r="E336" s="50">
        <f>67</f>
        <v>67</v>
      </c>
      <c r="F336" s="44"/>
    </row>
    <row r="337" spans="1:6" s="1" customFormat="1" ht="61.5" customHeight="1">
      <c r="A337" s="58" t="s">
        <v>596</v>
      </c>
      <c r="B337" s="39" t="s">
        <v>77</v>
      </c>
      <c r="C337" s="39" t="s">
        <v>597</v>
      </c>
      <c r="D337" s="47"/>
      <c r="E337" s="50">
        <f>E338+E340</f>
        <v>160.8</v>
      </c>
      <c r="F337" s="44"/>
    </row>
    <row r="338" spans="1:6" s="1" customFormat="1" ht="60.75" customHeight="1">
      <c r="A338" s="58" t="s">
        <v>331</v>
      </c>
      <c r="B338" s="39" t="s">
        <v>77</v>
      </c>
      <c r="C338" s="39" t="s">
        <v>597</v>
      </c>
      <c r="D338" s="47" t="s">
        <v>179</v>
      </c>
      <c r="E338" s="50">
        <f>E339</f>
        <v>134</v>
      </c>
      <c r="F338" s="44"/>
    </row>
    <row r="339" spans="1:6" s="1" customFormat="1" ht="21" customHeight="1">
      <c r="A339" s="58" t="s">
        <v>333</v>
      </c>
      <c r="B339" s="39" t="s">
        <v>77</v>
      </c>
      <c r="C339" s="39" t="s">
        <v>597</v>
      </c>
      <c r="D339" s="47" t="s">
        <v>332</v>
      </c>
      <c r="E339" s="50">
        <f>134</f>
        <v>134</v>
      </c>
      <c r="F339" s="44"/>
    </row>
    <row r="340" spans="1:6" s="1" customFormat="1" ht="21.75" customHeight="1">
      <c r="A340" s="58" t="s">
        <v>174</v>
      </c>
      <c r="B340" s="39" t="s">
        <v>77</v>
      </c>
      <c r="C340" s="39" t="s">
        <v>597</v>
      </c>
      <c r="D340" s="47" t="s">
        <v>173</v>
      </c>
      <c r="E340" s="50">
        <f>E341</f>
        <v>26.8</v>
      </c>
      <c r="F340" s="44"/>
    </row>
    <row r="341" spans="1:6" s="1" customFormat="1" ht="31.5" customHeight="1">
      <c r="A341" s="58" t="s">
        <v>176</v>
      </c>
      <c r="B341" s="39" t="s">
        <v>77</v>
      </c>
      <c r="C341" s="39" t="s">
        <v>597</v>
      </c>
      <c r="D341" s="47" t="s">
        <v>175</v>
      </c>
      <c r="E341" s="50">
        <f>26.8</f>
        <v>26.8</v>
      </c>
      <c r="F341" s="44"/>
    </row>
    <row r="342" spans="1:6" s="1" customFormat="1" ht="57.75" customHeight="1">
      <c r="A342" s="58" t="s">
        <v>607</v>
      </c>
      <c r="B342" s="39" t="s">
        <v>77</v>
      </c>
      <c r="C342" s="39" t="s">
        <v>606</v>
      </c>
      <c r="D342" s="47"/>
      <c r="E342" s="50">
        <f>E343+E345</f>
        <v>160.8</v>
      </c>
      <c r="F342" s="44"/>
    </row>
    <row r="343" spans="1:6" s="1" customFormat="1" ht="58.5" customHeight="1">
      <c r="A343" s="58" t="s">
        <v>331</v>
      </c>
      <c r="B343" s="39" t="s">
        <v>77</v>
      </c>
      <c r="C343" s="39" t="s">
        <v>606</v>
      </c>
      <c r="D343" s="47" t="s">
        <v>179</v>
      </c>
      <c r="E343" s="50">
        <f>E344</f>
        <v>134</v>
      </c>
      <c r="F343" s="44"/>
    </row>
    <row r="344" spans="1:6" s="1" customFormat="1" ht="24.75" customHeight="1">
      <c r="A344" s="58" t="s">
        <v>333</v>
      </c>
      <c r="B344" s="39" t="s">
        <v>77</v>
      </c>
      <c r="C344" s="39" t="s">
        <v>606</v>
      </c>
      <c r="D344" s="47" t="s">
        <v>332</v>
      </c>
      <c r="E344" s="50">
        <f>134</f>
        <v>134</v>
      </c>
      <c r="F344" s="44"/>
    </row>
    <row r="345" spans="1:6" s="1" customFormat="1" ht="21.75" customHeight="1">
      <c r="A345" s="58" t="s">
        <v>174</v>
      </c>
      <c r="B345" s="39" t="s">
        <v>77</v>
      </c>
      <c r="C345" s="39" t="s">
        <v>606</v>
      </c>
      <c r="D345" s="47" t="s">
        <v>173</v>
      </c>
      <c r="E345" s="50">
        <f>E346</f>
        <v>26.8</v>
      </c>
      <c r="F345" s="44"/>
    </row>
    <row r="346" spans="1:6" s="1" customFormat="1" ht="31.5" customHeight="1">
      <c r="A346" s="58" t="s">
        <v>176</v>
      </c>
      <c r="B346" s="39" t="s">
        <v>77</v>
      </c>
      <c r="C346" s="39" t="s">
        <v>606</v>
      </c>
      <c r="D346" s="47" t="s">
        <v>175</v>
      </c>
      <c r="E346" s="50">
        <f>26.8</f>
        <v>26.8</v>
      </c>
      <c r="F346" s="44"/>
    </row>
    <row r="347" spans="1:6" s="1" customFormat="1" ht="60.75" customHeight="1">
      <c r="A347" s="58" t="s">
        <v>598</v>
      </c>
      <c r="B347" s="39" t="s">
        <v>77</v>
      </c>
      <c r="C347" s="39" t="s">
        <v>599</v>
      </c>
      <c r="D347" s="47"/>
      <c r="E347" s="50">
        <f>E348+E350</f>
        <v>160.8</v>
      </c>
      <c r="F347" s="44"/>
    </row>
    <row r="348" spans="1:6" s="1" customFormat="1" ht="59.25" customHeight="1">
      <c r="A348" s="58" t="s">
        <v>331</v>
      </c>
      <c r="B348" s="39" t="s">
        <v>77</v>
      </c>
      <c r="C348" s="39" t="s">
        <v>599</v>
      </c>
      <c r="D348" s="47" t="s">
        <v>179</v>
      </c>
      <c r="E348" s="50">
        <f>E349</f>
        <v>134</v>
      </c>
      <c r="F348" s="44"/>
    </row>
    <row r="349" spans="1:6" s="1" customFormat="1" ht="20.25" customHeight="1">
      <c r="A349" s="58" t="s">
        <v>333</v>
      </c>
      <c r="B349" s="39" t="s">
        <v>77</v>
      </c>
      <c r="C349" s="39" t="s">
        <v>599</v>
      </c>
      <c r="D349" s="47" t="s">
        <v>332</v>
      </c>
      <c r="E349" s="50">
        <f>134</f>
        <v>134</v>
      </c>
      <c r="F349" s="44"/>
    </row>
    <row r="350" spans="1:6" s="1" customFormat="1" ht="27" customHeight="1">
      <c r="A350" s="58" t="s">
        <v>174</v>
      </c>
      <c r="B350" s="39" t="s">
        <v>77</v>
      </c>
      <c r="C350" s="39" t="s">
        <v>599</v>
      </c>
      <c r="D350" s="47" t="s">
        <v>173</v>
      </c>
      <c r="E350" s="50">
        <f>E351</f>
        <v>26.8</v>
      </c>
      <c r="F350" s="44"/>
    </row>
    <row r="351" spans="1:6" s="1" customFormat="1" ht="33.75" customHeight="1">
      <c r="A351" s="58" t="s">
        <v>176</v>
      </c>
      <c r="B351" s="39" t="s">
        <v>77</v>
      </c>
      <c r="C351" s="39" t="s">
        <v>599</v>
      </c>
      <c r="D351" s="47" t="s">
        <v>175</v>
      </c>
      <c r="E351" s="50">
        <f>26.8</f>
        <v>26.8</v>
      </c>
      <c r="F351" s="44"/>
    </row>
    <row r="352" spans="1:6" s="1" customFormat="1" ht="59.25" customHeight="1">
      <c r="A352" s="58" t="s">
        <v>600</v>
      </c>
      <c r="B352" s="39" t="s">
        <v>77</v>
      </c>
      <c r="C352" s="39" t="s">
        <v>601</v>
      </c>
      <c r="D352" s="47"/>
      <c r="E352" s="50">
        <f>E353+E355</f>
        <v>80.4</v>
      </c>
      <c r="F352" s="44"/>
    </row>
    <row r="353" spans="1:6" s="1" customFormat="1" ht="60.75" customHeight="1">
      <c r="A353" s="58" t="s">
        <v>331</v>
      </c>
      <c r="B353" s="39" t="s">
        <v>77</v>
      </c>
      <c r="C353" s="39" t="s">
        <v>601</v>
      </c>
      <c r="D353" s="47" t="s">
        <v>179</v>
      </c>
      <c r="E353" s="50">
        <f>E354</f>
        <v>67</v>
      </c>
      <c r="F353" s="44"/>
    </row>
    <row r="354" spans="1:6" s="1" customFormat="1" ht="20.25" customHeight="1">
      <c r="A354" s="58" t="s">
        <v>333</v>
      </c>
      <c r="B354" s="39" t="s">
        <v>77</v>
      </c>
      <c r="C354" s="39" t="s">
        <v>601</v>
      </c>
      <c r="D354" s="47" t="s">
        <v>332</v>
      </c>
      <c r="E354" s="50">
        <f>67</f>
        <v>67</v>
      </c>
      <c r="F354" s="44"/>
    </row>
    <row r="355" spans="1:6" s="1" customFormat="1" ht="21" customHeight="1">
      <c r="A355" s="58" t="s">
        <v>174</v>
      </c>
      <c r="B355" s="39" t="s">
        <v>77</v>
      </c>
      <c r="C355" s="39" t="s">
        <v>601</v>
      </c>
      <c r="D355" s="47" t="s">
        <v>173</v>
      </c>
      <c r="E355" s="50">
        <f>E356</f>
        <v>13.4</v>
      </c>
      <c r="F355" s="44"/>
    </row>
    <row r="356" spans="1:6" s="1" customFormat="1" ht="36" customHeight="1">
      <c r="A356" s="58" t="s">
        <v>176</v>
      </c>
      <c r="B356" s="39" t="s">
        <v>77</v>
      </c>
      <c r="C356" s="39" t="s">
        <v>601</v>
      </c>
      <c r="D356" s="47" t="s">
        <v>175</v>
      </c>
      <c r="E356" s="50">
        <f>13.4</f>
        <v>13.4</v>
      </c>
      <c r="F356" s="44"/>
    </row>
    <row r="357" spans="1:6" s="1" customFormat="1" ht="57.75" customHeight="1">
      <c r="A357" s="58" t="s">
        <v>602</v>
      </c>
      <c r="B357" s="47" t="s">
        <v>77</v>
      </c>
      <c r="C357" s="47" t="s">
        <v>603</v>
      </c>
      <c r="D357" s="47"/>
      <c r="E357" s="50">
        <f>E358+E360</f>
        <v>71.2</v>
      </c>
      <c r="F357" s="44"/>
    </row>
    <row r="358" spans="1:6" s="1" customFormat="1" ht="57.75" customHeight="1">
      <c r="A358" s="58" t="s">
        <v>331</v>
      </c>
      <c r="B358" s="39" t="s">
        <v>77</v>
      </c>
      <c r="C358" s="39" t="s">
        <v>603</v>
      </c>
      <c r="D358" s="47" t="s">
        <v>179</v>
      </c>
      <c r="E358" s="50">
        <f>E359</f>
        <v>67</v>
      </c>
      <c r="F358" s="44"/>
    </row>
    <row r="359" spans="1:6" s="1" customFormat="1" ht="21" customHeight="1">
      <c r="A359" s="58" t="s">
        <v>333</v>
      </c>
      <c r="B359" s="39" t="s">
        <v>77</v>
      </c>
      <c r="C359" s="39" t="s">
        <v>603</v>
      </c>
      <c r="D359" s="47" t="s">
        <v>332</v>
      </c>
      <c r="E359" s="50">
        <f>67</f>
        <v>67</v>
      </c>
      <c r="F359" s="44"/>
    </row>
    <row r="360" spans="1:6" s="1" customFormat="1" ht="19.5" customHeight="1">
      <c r="A360" s="58" t="s">
        <v>174</v>
      </c>
      <c r="B360" s="39" t="s">
        <v>77</v>
      </c>
      <c r="C360" s="39" t="s">
        <v>603</v>
      </c>
      <c r="D360" s="47" t="s">
        <v>173</v>
      </c>
      <c r="E360" s="50">
        <f>E361</f>
        <v>4.2</v>
      </c>
      <c r="F360" s="44"/>
    </row>
    <row r="361" spans="1:6" s="1" customFormat="1" ht="29.25" customHeight="1">
      <c r="A361" s="58" t="s">
        <v>176</v>
      </c>
      <c r="B361" s="39" t="s">
        <v>77</v>
      </c>
      <c r="C361" s="39" t="s">
        <v>603</v>
      </c>
      <c r="D361" s="47" t="s">
        <v>175</v>
      </c>
      <c r="E361" s="50">
        <f>4.2</f>
        <v>4.2</v>
      </c>
      <c r="F361" s="44"/>
    </row>
    <row r="362" spans="1:6" s="1" customFormat="1" ht="91.5" customHeight="1">
      <c r="A362" s="56" t="s">
        <v>8</v>
      </c>
      <c r="B362" s="39" t="s">
        <v>77</v>
      </c>
      <c r="C362" s="39" t="s">
        <v>38</v>
      </c>
      <c r="D362" s="39"/>
      <c r="E362" s="40">
        <f>E363+E366+E372+E369+E375</f>
        <v>136664.6</v>
      </c>
      <c r="F362" s="40">
        <f>F363+F366+F372</f>
        <v>8666</v>
      </c>
    </row>
    <row r="363" spans="1:6" s="1" customFormat="1" ht="48" customHeight="1">
      <c r="A363" s="56" t="s">
        <v>509</v>
      </c>
      <c r="B363" s="39" t="s">
        <v>77</v>
      </c>
      <c r="C363" s="39" t="s">
        <v>39</v>
      </c>
      <c r="D363" s="39"/>
      <c r="E363" s="40">
        <f>E364</f>
        <v>127600.6</v>
      </c>
      <c r="F363" s="40"/>
    </row>
    <row r="364" spans="1:6" s="1" customFormat="1" ht="36" customHeight="1">
      <c r="A364" s="36" t="s">
        <v>339</v>
      </c>
      <c r="B364" s="39" t="s">
        <v>77</v>
      </c>
      <c r="C364" s="39" t="s">
        <v>39</v>
      </c>
      <c r="D364" s="39" t="s">
        <v>338</v>
      </c>
      <c r="E364" s="40">
        <f>E365</f>
        <v>127600.6</v>
      </c>
      <c r="F364" s="40"/>
    </row>
    <row r="365" spans="1:6" s="1" customFormat="1" ht="21.75" customHeight="1">
      <c r="A365" s="43" t="s">
        <v>337</v>
      </c>
      <c r="B365" s="39" t="s">
        <v>77</v>
      </c>
      <c r="C365" s="39" t="s">
        <v>39</v>
      </c>
      <c r="D365" s="39" t="s">
        <v>336</v>
      </c>
      <c r="E365" s="40">
        <f>98571+28700+727.6-383-15</f>
        <v>127600.6</v>
      </c>
      <c r="F365" s="40"/>
    </row>
    <row r="366" spans="1:6" s="1" customFormat="1" ht="48" customHeight="1">
      <c r="A366" s="43" t="s">
        <v>767</v>
      </c>
      <c r="B366" s="39" t="s">
        <v>77</v>
      </c>
      <c r="C366" s="39" t="s">
        <v>771</v>
      </c>
      <c r="D366" s="10"/>
      <c r="E366" s="40">
        <f>E367</f>
        <v>7273</v>
      </c>
      <c r="F366" s="40">
        <f>F367</f>
        <v>7273</v>
      </c>
    </row>
    <row r="367" spans="1:6" s="1" customFormat="1" ht="28.5" customHeight="1">
      <c r="A367" s="36" t="s">
        <v>339</v>
      </c>
      <c r="B367" s="39" t="s">
        <v>77</v>
      </c>
      <c r="C367" s="39" t="s">
        <v>771</v>
      </c>
      <c r="D367" s="10" t="s">
        <v>338</v>
      </c>
      <c r="E367" s="40">
        <f>E368</f>
        <v>7273</v>
      </c>
      <c r="F367" s="40">
        <f>F368</f>
        <v>7273</v>
      </c>
    </row>
    <row r="368" spans="1:6" s="1" customFormat="1" ht="21.75" customHeight="1">
      <c r="A368" s="124" t="s">
        <v>337</v>
      </c>
      <c r="B368" s="39" t="s">
        <v>77</v>
      </c>
      <c r="C368" s="39" t="s">
        <v>771</v>
      </c>
      <c r="D368" s="10" t="s">
        <v>336</v>
      </c>
      <c r="E368" s="40">
        <v>7273</v>
      </c>
      <c r="F368" s="40">
        <f>E368</f>
        <v>7273</v>
      </c>
    </row>
    <row r="369" spans="1:6" s="1" customFormat="1" ht="45.75" customHeight="1">
      <c r="A369" s="43" t="s">
        <v>773</v>
      </c>
      <c r="B369" s="39" t="s">
        <v>77</v>
      </c>
      <c r="C369" s="39" t="s">
        <v>771</v>
      </c>
      <c r="D369" s="10"/>
      <c r="E369" s="40">
        <f>E370</f>
        <v>383</v>
      </c>
      <c r="F369" s="40">
        <f>F370</f>
        <v>0</v>
      </c>
    </row>
    <row r="370" spans="1:6" s="1" customFormat="1" ht="30.75" customHeight="1">
      <c r="A370" s="36" t="s">
        <v>339</v>
      </c>
      <c r="B370" s="39" t="s">
        <v>77</v>
      </c>
      <c r="C370" s="39" t="s">
        <v>771</v>
      </c>
      <c r="D370" s="10" t="s">
        <v>338</v>
      </c>
      <c r="E370" s="40">
        <f>E371</f>
        <v>383</v>
      </c>
      <c r="F370" s="40">
        <f>F371</f>
        <v>0</v>
      </c>
    </row>
    <row r="371" spans="1:6" s="1" customFormat="1" ht="21.75" customHeight="1">
      <c r="A371" s="124" t="s">
        <v>337</v>
      </c>
      <c r="B371" s="39" t="s">
        <v>77</v>
      </c>
      <c r="C371" s="39" t="s">
        <v>771</v>
      </c>
      <c r="D371" s="10" t="s">
        <v>336</v>
      </c>
      <c r="E371" s="40">
        <v>383</v>
      </c>
      <c r="F371" s="40">
        <v>0</v>
      </c>
    </row>
    <row r="372" spans="1:6" s="1" customFormat="1" ht="105.75" customHeight="1">
      <c r="A372" s="43" t="s">
        <v>768</v>
      </c>
      <c r="B372" s="39" t="s">
        <v>77</v>
      </c>
      <c r="C372" s="39" t="s">
        <v>772</v>
      </c>
      <c r="D372" s="10"/>
      <c r="E372" s="40">
        <f>E373</f>
        <v>1393</v>
      </c>
      <c r="F372" s="40">
        <f>F373</f>
        <v>1393</v>
      </c>
    </row>
    <row r="373" spans="1:6" s="1" customFormat="1" ht="29.25" customHeight="1">
      <c r="A373" s="36" t="s">
        <v>339</v>
      </c>
      <c r="B373" s="39" t="s">
        <v>77</v>
      </c>
      <c r="C373" s="39" t="s">
        <v>772</v>
      </c>
      <c r="D373" s="10" t="s">
        <v>338</v>
      </c>
      <c r="E373" s="40">
        <f>E374</f>
        <v>1393</v>
      </c>
      <c r="F373" s="40">
        <f>F374</f>
        <v>1393</v>
      </c>
    </row>
    <row r="374" spans="1:6" s="1" customFormat="1" ht="21.75" customHeight="1">
      <c r="A374" s="124" t="s">
        <v>337</v>
      </c>
      <c r="B374" s="39" t="s">
        <v>77</v>
      </c>
      <c r="C374" s="39" t="s">
        <v>772</v>
      </c>
      <c r="D374" s="10" t="s">
        <v>336</v>
      </c>
      <c r="E374" s="40">
        <v>1393</v>
      </c>
      <c r="F374" s="40">
        <f>E374</f>
        <v>1393</v>
      </c>
    </row>
    <row r="375" spans="1:6" s="1" customFormat="1" ht="89.25" customHeight="1">
      <c r="A375" s="43" t="s">
        <v>774</v>
      </c>
      <c r="B375" s="39" t="s">
        <v>77</v>
      </c>
      <c r="C375" s="39" t="s">
        <v>772</v>
      </c>
      <c r="D375" s="10"/>
      <c r="E375" s="40">
        <f>E376</f>
        <v>15</v>
      </c>
      <c r="F375" s="40">
        <f>F376</f>
        <v>0</v>
      </c>
    </row>
    <row r="376" spans="1:6" s="1" customFormat="1" ht="30" customHeight="1">
      <c r="A376" s="36" t="s">
        <v>339</v>
      </c>
      <c r="B376" s="39" t="s">
        <v>77</v>
      </c>
      <c r="C376" s="39" t="s">
        <v>772</v>
      </c>
      <c r="D376" s="10" t="s">
        <v>338</v>
      </c>
      <c r="E376" s="40">
        <f>E377</f>
        <v>15</v>
      </c>
      <c r="F376" s="40">
        <f>F377</f>
        <v>0</v>
      </c>
    </row>
    <row r="377" spans="1:6" s="1" customFormat="1" ht="21.75" customHeight="1">
      <c r="A377" s="124" t="s">
        <v>337</v>
      </c>
      <c r="B377" s="39" t="s">
        <v>77</v>
      </c>
      <c r="C377" s="39" t="s">
        <v>772</v>
      </c>
      <c r="D377" s="10" t="s">
        <v>336</v>
      </c>
      <c r="E377" s="40">
        <v>15</v>
      </c>
      <c r="F377" s="40">
        <v>0</v>
      </c>
    </row>
    <row r="378" spans="1:6" s="1" customFormat="1" ht="46.5" customHeight="1">
      <c r="A378" s="46" t="s">
        <v>10</v>
      </c>
      <c r="B378" s="47" t="s">
        <v>77</v>
      </c>
      <c r="C378" s="48" t="s">
        <v>34</v>
      </c>
      <c r="D378" s="48"/>
      <c r="E378" s="44">
        <f>E379</f>
        <v>5080.700000000001</v>
      </c>
      <c r="F378" s="44">
        <f>F379</f>
        <v>0</v>
      </c>
    </row>
    <row r="379" spans="1:6" s="1" customFormat="1" ht="21" customHeight="1">
      <c r="A379" s="46" t="s">
        <v>196</v>
      </c>
      <c r="B379" s="47" t="s">
        <v>77</v>
      </c>
      <c r="C379" s="48" t="s">
        <v>195</v>
      </c>
      <c r="D379" s="48"/>
      <c r="E379" s="53">
        <f>E380+E382</f>
        <v>5080.700000000001</v>
      </c>
      <c r="F379" s="96"/>
    </row>
    <row r="380" spans="1:6" s="1" customFormat="1" ht="18" customHeight="1">
      <c r="A380" s="46" t="s">
        <v>174</v>
      </c>
      <c r="B380" s="47" t="s">
        <v>77</v>
      </c>
      <c r="C380" s="48" t="s">
        <v>195</v>
      </c>
      <c r="D380" s="48" t="s">
        <v>173</v>
      </c>
      <c r="E380" s="53">
        <f>E381</f>
        <v>3496.2000000000003</v>
      </c>
      <c r="F380" s="96"/>
    </row>
    <row r="381" spans="1:6" s="1" customFormat="1" ht="30.75" customHeight="1">
      <c r="A381" s="58" t="s">
        <v>176</v>
      </c>
      <c r="B381" s="47" t="s">
        <v>77</v>
      </c>
      <c r="C381" s="48" t="s">
        <v>195</v>
      </c>
      <c r="D381" s="47" t="s">
        <v>175</v>
      </c>
      <c r="E381" s="50">
        <f>6280-1036.9-505.5-1000-185.5-55.9</f>
        <v>3496.2000000000003</v>
      </c>
      <c r="F381" s="83"/>
    </row>
    <row r="382" spans="1:6" s="1" customFormat="1" ht="30.75" customHeight="1">
      <c r="A382" s="36" t="s">
        <v>339</v>
      </c>
      <c r="B382" s="47" t="s">
        <v>77</v>
      </c>
      <c r="C382" s="48" t="s">
        <v>195</v>
      </c>
      <c r="D382" s="47" t="s">
        <v>338</v>
      </c>
      <c r="E382" s="50">
        <f>E383</f>
        <v>1584.5</v>
      </c>
      <c r="F382" s="83"/>
    </row>
    <row r="383" spans="1:6" s="1" customFormat="1" ht="17.25" customHeight="1">
      <c r="A383" s="43" t="s">
        <v>337</v>
      </c>
      <c r="B383" s="47" t="s">
        <v>77</v>
      </c>
      <c r="C383" s="48" t="s">
        <v>195</v>
      </c>
      <c r="D383" s="47" t="s">
        <v>336</v>
      </c>
      <c r="E383" s="50">
        <f>1036.9+505.5+42.1</f>
        <v>1584.5</v>
      </c>
      <c r="F383" s="83"/>
    </row>
    <row r="384" spans="1:6" s="5" customFormat="1" ht="19.5" customHeight="1">
      <c r="A384" s="21" t="s">
        <v>138</v>
      </c>
      <c r="B384" s="19" t="s">
        <v>139</v>
      </c>
      <c r="C384" s="19"/>
      <c r="D384" s="19"/>
      <c r="E384" s="20">
        <f aca="true" t="shared" si="2" ref="E384:E389">E385</f>
        <v>650</v>
      </c>
      <c r="F384" s="20"/>
    </row>
    <row r="385" spans="1:6" s="1" customFormat="1" ht="18.75" customHeight="1">
      <c r="A385" s="59" t="s">
        <v>105</v>
      </c>
      <c r="B385" s="63" t="s">
        <v>146</v>
      </c>
      <c r="C385" s="63"/>
      <c r="D385" s="63"/>
      <c r="E385" s="13">
        <f t="shared" si="2"/>
        <v>650</v>
      </c>
      <c r="F385" s="13"/>
    </row>
    <row r="386" spans="1:6" s="1" customFormat="1" ht="26.25" customHeight="1">
      <c r="A386" s="36" t="s">
        <v>245</v>
      </c>
      <c r="B386" s="39" t="s">
        <v>146</v>
      </c>
      <c r="C386" s="38" t="s">
        <v>20</v>
      </c>
      <c r="D386" s="39"/>
      <c r="E386" s="40">
        <f t="shared" si="2"/>
        <v>650</v>
      </c>
      <c r="F386" s="13"/>
    </row>
    <row r="387" spans="1:6" s="1" customFormat="1" ht="20.25" customHeight="1">
      <c r="A387" s="41" t="s">
        <v>41</v>
      </c>
      <c r="B387" s="39" t="s">
        <v>146</v>
      </c>
      <c r="C387" s="39" t="s">
        <v>21</v>
      </c>
      <c r="D387" s="39"/>
      <c r="E387" s="40">
        <f t="shared" si="2"/>
        <v>650</v>
      </c>
      <c r="F387" s="13"/>
    </row>
    <row r="388" spans="1:6" s="1" customFormat="1" ht="27">
      <c r="A388" s="41" t="s">
        <v>140</v>
      </c>
      <c r="B388" s="39" t="s">
        <v>146</v>
      </c>
      <c r="C388" s="39" t="s">
        <v>415</v>
      </c>
      <c r="D388" s="39"/>
      <c r="E388" s="40">
        <f t="shared" si="2"/>
        <v>650</v>
      </c>
      <c r="F388" s="40"/>
    </row>
    <row r="389" spans="1:6" s="1" customFormat="1" ht="19.5" customHeight="1">
      <c r="A389" s="46" t="s">
        <v>174</v>
      </c>
      <c r="B389" s="39" t="s">
        <v>146</v>
      </c>
      <c r="C389" s="39" t="str">
        <f>$C$388</f>
        <v>12 5 00 01030</v>
      </c>
      <c r="D389" s="39" t="s">
        <v>173</v>
      </c>
      <c r="E389" s="40">
        <f t="shared" si="2"/>
        <v>650</v>
      </c>
      <c r="F389" s="40"/>
    </row>
    <row r="390" spans="1:6" s="1" customFormat="1" ht="31.5" customHeight="1">
      <c r="A390" s="46" t="s">
        <v>176</v>
      </c>
      <c r="B390" s="39" t="s">
        <v>146</v>
      </c>
      <c r="C390" s="39" t="str">
        <f>$C$388</f>
        <v>12 5 00 01030</v>
      </c>
      <c r="D390" s="39" t="s">
        <v>175</v>
      </c>
      <c r="E390" s="40">
        <f>650</f>
        <v>650</v>
      </c>
      <c r="F390" s="40"/>
    </row>
    <row r="391" spans="1:6" s="5" customFormat="1" ht="32.25" customHeight="1">
      <c r="A391" s="22" t="s">
        <v>111</v>
      </c>
      <c r="B391" s="19" t="s">
        <v>112</v>
      </c>
      <c r="C391" s="19"/>
      <c r="D391" s="19"/>
      <c r="E391" s="20">
        <f>E392+E413</f>
        <v>50232.899999999994</v>
      </c>
      <c r="F391" s="20">
        <f>F392</f>
        <v>0</v>
      </c>
    </row>
    <row r="392" spans="1:6" s="1" customFormat="1" ht="42.75">
      <c r="A392" s="59" t="s">
        <v>62</v>
      </c>
      <c r="B392" s="63" t="s">
        <v>113</v>
      </c>
      <c r="C392" s="63"/>
      <c r="D392" s="65"/>
      <c r="E392" s="11">
        <f>E393</f>
        <v>36512.899999999994</v>
      </c>
      <c r="F392" s="11"/>
    </row>
    <row r="393" spans="1:6" s="1" customFormat="1" ht="36" customHeight="1">
      <c r="A393" s="60" t="s">
        <v>267</v>
      </c>
      <c r="B393" s="39" t="s">
        <v>113</v>
      </c>
      <c r="C393" s="47" t="s">
        <v>416</v>
      </c>
      <c r="D393" s="37"/>
      <c r="E393" s="40">
        <f>E394+E409+E405</f>
        <v>36512.899999999994</v>
      </c>
      <c r="F393" s="39"/>
    </row>
    <row r="394" spans="1:6" s="1" customFormat="1" ht="48" customHeight="1">
      <c r="A394" s="60" t="s">
        <v>1</v>
      </c>
      <c r="B394" s="39" t="s">
        <v>113</v>
      </c>
      <c r="C394" s="48" t="s">
        <v>418</v>
      </c>
      <c r="D394" s="38"/>
      <c r="E394" s="57">
        <f>E398+E395</f>
        <v>33882.899999999994</v>
      </c>
      <c r="F394" s="39"/>
    </row>
    <row r="395" spans="1:6" s="1" customFormat="1" ht="45.75" customHeight="1">
      <c r="A395" s="60" t="s">
        <v>422</v>
      </c>
      <c r="B395" s="39" t="s">
        <v>113</v>
      </c>
      <c r="C395" s="48" t="s">
        <v>423</v>
      </c>
      <c r="D395" s="38"/>
      <c r="E395" s="40">
        <f>E396</f>
        <v>2410</v>
      </c>
      <c r="F395" s="39"/>
    </row>
    <row r="396" spans="1:6" s="1" customFormat="1" ht="27" customHeight="1">
      <c r="A396" s="46" t="s">
        <v>174</v>
      </c>
      <c r="B396" s="39" t="s">
        <v>113</v>
      </c>
      <c r="C396" s="48" t="s">
        <v>423</v>
      </c>
      <c r="D396" s="38" t="s">
        <v>173</v>
      </c>
      <c r="E396" s="57">
        <f>E397</f>
        <v>2410</v>
      </c>
      <c r="F396" s="39"/>
    </row>
    <row r="397" spans="1:6" s="1" customFormat="1" ht="33" customHeight="1">
      <c r="A397" s="46" t="s">
        <v>176</v>
      </c>
      <c r="B397" s="39" t="s">
        <v>113</v>
      </c>
      <c r="C397" s="48" t="s">
        <v>423</v>
      </c>
      <c r="D397" s="38" t="s">
        <v>175</v>
      </c>
      <c r="E397" s="57">
        <f>2410</f>
        <v>2410</v>
      </c>
      <c r="F397" s="39"/>
    </row>
    <row r="398" spans="1:6" s="1" customFormat="1" ht="29.25" customHeight="1">
      <c r="A398" s="55" t="s">
        <v>225</v>
      </c>
      <c r="B398" s="39" t="s">
        <v>113</v>
      </c>
      <c r="C398" s="48" t="s">
        <v>226</v>
      </c>
      <c r="D398" s="38"/>
      <c r="E398" s="57">
        <f>E399+E401+E403</f>
        <v>31472.899999999998</v>
      </c>
      <c r="F398" s="39"/>
    </row>
    <row r="399" spans="1:6" s="1" customFormat="1" ht="63.75" customHeight="1">
      <c r="A399" s="56" t="s">
        <v>331</v>
      </c>
      <c r="B399" s="39" t="s">
        <v>113</v>
      </c>
      <c r="C399" s="48" t="s">
        <v>226</v>
      </c>
      <c r="D399" s="38" t="s">
        <v>179</v>
      </c>
      <c r="E399" s="57">
        <f>E400</f>
        <v>27339.1</v>
      </c>
      <c r="F399" s="39"/>
    </row>
    <row r="400" spans="1:6" s="1" customFormat="1" ht="24.75" customHeight="1">
      <c r="A400" s="56" t="s">
        <v>333</v>
      </c>
      <c r="B400" s="39" t="s">
        <v>113</v>
      </c>
      <c r="C400" s="48" t="s">
        <v>226</v>
      </c>
      <c r="D400" s="38" t="s">
        <v>332</v>
      </c>
      <c r="E400" s="57">
        <f>26084.1+1255</f>
        <v>27339.1</v>
      </c>
      <c r="F400" s="39"/>
    </row>
    <row r="401" spans="1:6" s="1" customFormat="1" ht="20.25" customHeight="1">
      <c r="A401" s="46" t="s">
        <v>174</v>
      </c>
      <c r="B401" s="39" t="s">
        <v>113</v>
      </c>
      <c r="C401" s="48" t="s">
        <v>226</v>
      </c>
      <c r="D401" s="38" t="s">
        <v>173</v>
      </c>
      <c r="E401" s="57">
        <f>E402</f>
        <v>3955.8</v>
      </c>
      <c r="F401" s="39"/>
    </row>
    <row r="402" spans="1:6" s="1" customFormat="1" ht="36" customHeight="1">
      <c r="A402" s="46" t="s">
        <v>176</v>
      </c>
      <c r="B402" s="39" t="s">
        <v>113</v>
      </c>
      <c r="C402" s="48" t="s">
        <v>226</v>
      </c>
      <c r="D402" s="38" t="s">
        <v>175</v>
      </c>
      <c r="E402" s="57">
        <f>7170.8-2000-1255+40</f>
        <v>3955.8</v>
      </c>
      <c r="F402" s="39"/>
    </row>
    <row r="403" spans="1:6" s="1" customFormat="1" ht="29.25" customHeight="1">
      <c r="A403" s="46" t="s">
        <v>178</v>
      </c>
      <c r="B403" s="39" t="s">
        <v>113</v>
      </c>
      <c r="C403" s="48" t="s">
        <v>226</v>
      </c>
      <c r="D403" s="38" t="s">
        <v>177</v>
      </c>
      <c r="E403" s="57">
        <f>E404</f>
        <v>178</v>
      </c>
      <c r="F403" s="39"/>
    </row>
    <row r="404" spans="1:6" s="1" customFormat="1" ht="29.25" customHeight="1">
      <c r="A404" s="58" t="s">
        <v>335</v>
      </c>
      <c r="B404" s="39" t="s">
        <v>113</v>
      </c>
      <c r="C404" s="47" t="s">
        <v>226</v>
      </c>
      <c r="D404" s="37" t="s">
        <v>334</v>
      </c>
      <c r="E404" s="40">
        <f>218-40</f>
        <v>178</v>
      </c>
      <c r="F404" s="39"/>
    </row>
    <row r="405" spans="1:6" s="1" customFormat="1" ht="34.5" customHeight="1">
      <c r="A405" s="36" t="s">
        <v>497</v>
      </c>
      <c r="B405" s="39" t="s">
        <v>113</v>
      </c>
      <c r="C405" s="48" t="s">
        <v>204</v>
      </c>
      <c r="D405" s="38"/>
      <c r="E405" s="40">
        <f>E406</f>
        <v>1450</v>
      </c>
      <c r="F405" s="39"/>
    </row>
    <row r="406" spans="1:6" s="1" customFormat="1" ht="45.75" customHeight="1">
      <c r="A406" s="36" t="s">
        <v>498</v>
      </c>
      <c r="B406" s="39" t="s">
        <v>113</v>
      </c>
      <c r="C406" s="48" t="s">
        <v>205</v>
      </c>
      <c r="D406" s="38"/>
      <c r="E406" s="57">
        <f>E407</f>
        <v>1450</v>
      </c>
      <c r="F406" s="39"/>
    </row>
    <row r="407" spans="1:6" s="1" customFormat="1" ht="26.25" customHeight="1">
      <c r="A407" s="46" t="s">
        <v>174</v>
      </c>
      <c r="B407" s="39" t="s">
        <v>113</v>
      </c>
      <c r="C407" s="48" t="s">
        <v>205</v>
      </c>
      <c r="D407" s="38" t="s">
        <v>173</v>
      </c>
      <c r="E407" s="57">
        <f>E408</f>
        <v>1450</v>
      </c>
      <c r="F407" s="39"/>
    </row>
    <row r="408" spans="1:6" s="1" customFormat="1" ht="33.75" customHeight="1">
      <c r="A408" s="46" t="s">
        <v>176</v>
      </c>
      <c r="B408" s="39" t="s">
        <v>113</v>
      </c>
      <c r="C408" s="48" t="s">
        <v>205</v>
      </c>
      <c r="D408" s="38" t="s">
        <v>175</v>
      </c>
      <c r="E408" s="57">
        <f>1450</f>
        <v>1450</v>
      </c>
      <c r="F408" s="39"/>
    </row>
    <row r="409" spans="1:6" s="1" customFormat="1" ht="34.5" customHeight="1">
      <c r="A409" s="36" t="s">
        <v>43</v>
      </c>
      <c r="B409" s="39" t="s">
        <v>113</v>
      </c>
      <c r="C409" s="48" t="s">
        <v>223</v>
      </c>
      <c r="D409" s="38"/>
      <c r="E409" s="57">
        <f>E410</f>
        <v>1180</v>
      </c>
      <c r="F409" s="39"/>
    </row>
    <row r="410" spans="1:6" s="1" customFormat="1" ht="34.5" customHeight="1">
      <c r="A410" s="36" t="s">
        <v>499</v>
      </c>
      <c r="B410" s="39" t="s">
        <v>113</v>
      </c>
      <c r="C410" s="48" t="s">
        <v>224</v>
      </c>
      <c r="D410" s="38"/>
      <c r="E410" s="57">
        <f>E411</f>
        <v>1180</v>
      </c>
      <c r="F410" s="39"/>
    </row>
    <row r="411" spans="1:6" s="1" customFormat="1" ht="20.25" customHeight="1">
      <c r="A411" s="46" t="s">
        <v>174</v>
      </c>
      <c r="B411" s="39" t="s">
        <v>113</v>
      </c>
      <c r="C411" s="48" t="s">
        <v>224</v>
      </c>
      <c r="D411" s="38" t="s">
        <v>173</v>
      </c>
      <c r="E411" s="57">
        <f>E412</f>
        <v>1180</v>
      </c>
      <c r="F411" s="39"/>
    </row>
    <row r="412" spans="1:6" s="1" customFormat="1" ht="33" customHeight="1">
      <c r="A412" s="46" t="s">
        <v>176</v>
      </c>
      <c r="B412" s="39" t="s">
        <v>113</v>
      </c>
      <c r="C412" s="48" t="s">
        <v>224</v>
      </c>
      <c r="D412" s="38" t="s">
        <v>175</v>
      </c>
      <c r="E412" s="57">
        <f>1180</f>
        <v>1180</v>
      </c>
      <c r="F412" s="39"/>
    </row>
    <row r="413" spans="1:6" s="1" customFormat="1" ht="33" customHeight="1">
      <c r="A413" s="110" t="s">
        <v>489</v>
      </c>
      <c r="B413" s="111" t="s">
        <v>490</v>
      </c>
      <c r="C413" s="112"/>
      <c r="D413" s="113"/>
      <c r="E413" s="114">
        <f>E414+E418</f>
        <v>13720</v>
      </c>
      <c r="F413" s="114">
        <f>F418</f>
        <v>0</v>
      </c>
    </row>
    <row r="414" spans="1:6" s="1" customFormat="1" ht="33" customHeight="1">
      <c r="A414" s="60" t="s">
        <v>222</v>
      </c>
      <c r="B414" s="39" t="s">
        <v>490</v>
      </c>
      <c r="C414" s="47" t="s">
        <v>417</v>
      </c>
      <c r="D414" s="37"/>
      <c r="E414" s="40">
        <f>E415</f>
        <v>12920</v>
      </c>
      <c r="F414" s="39"/>
    </row>
    <row r="415" spans="1:6" s="1" customFormat="1" ht="33" customHeight="1">
      <c r="A415" s="60" t="s">
        <v>500</v>
      </c>
      <c r="B415" s="39" t="s">
        <v>490</v>
      </c>
      <c r="C415" s="47" t="s">
        <v>202</v>
      </c>
      <c r="D415" s="38"/>
      <c r="E415" s="57">
        <f>E416</f>
        <v>12920</v>
      </c>
      <c r="F415" s="39"/>
    </row>
    <row r="416" spans="1:6" s="1" customFormat="1" ht="21.75" customHeight="1">
      <c r="A416" s="46" t="s">
        <v>174</v>
      </c>
      <c r="B416" s="39" t="s">
        <v>490</v>
      </c>
      <c r="C416" s="47" t="s">
        <v>202</v>
      </c>
      <c r="D416" s="38" t="s">
        <v>173</v>
      </c>
      <c r="E416" s="57">
        <f>E417</f>
        <v>12920</v>
      </c>
      <c r="F416" s="39"/>
    </row>
    <row r="417" spans="1:6" s="1" customFormat="1" ht="33" customHeight="1">
      <c r="A417" s="46" t="s">
        <v>176</v>
      </c>
      <c r="B417" s="39" t="s">
        <v>490</v>
      </c>
      <c r="C417" s="47" t="s">
        <v>202</v>
      </c>
      <c r="D417" s="38" t="s">
        <v>175</v>
      </c>
      <c r="E417" s="57">
        <f>12920</f>
        <v>12920</v>
      </c>
      <c r="F417" s="39"/>
    </row>
    <row r="418" spans="1:6" s="1" customFormat="1" ht="23.25" customHeight="1">
      <c r="A418" s="36" t="s">
        <v>193</v>
      </c>
      <c r="B418" s="39" t="s">
        <v>490</v>
      </c>
      <c r="C418" s="48" t="s">
        <v>419</v>
      </c>
      <c r="D418" s="38"/>
      <c r="E418" s="57">
        <f>E419</f>
        <v>800</v>
      </c>
      <c r="F418" s="57">
        <f>F420</f>
        <v>0</v>
      </c>
    </row>
    <row r="419" spans="1:6" s="1" customFormat="1" ht="30" customHeight="1">
      <c r="A419" s="36" t="s">
        <v>501</v>
      </c>
      <c r="B419" s="39" t="s">
        <v>490</v>
      </c>
      <c r="C419" s="48" t="s">
        <v>234</v>
      </c>
      <c r="D419" s="38"/>
      <c r="E419" s="57">
        <f>E420</f>
        <v>800</v>
      </c>
      <c r="F419" s="57"/>
    </row>
    <row r="420" spans="1:6" s="1" customFormat="1" ht="21.75" customHeight="1">
      <c r="A420" s="46" t="s">
        <v>174</v>
      </c>
      <c r="B420" s="39" t="s">
        <v>490</v>
      </c>
      <c r="C420" s="48" t="s">
        <v>234</v>
      </c>
      <c r="D420" s="38" t="s">
        <v>173</v>
      </c>
      <c r="E420" s="57">
        <f>E421</f>
        <v>800</v>
      </c>
      <c r="F420" s="39"/>
    </row>
    <row r="421" spans="1:6" s="1" customFormat="1" ht="30" customHeight="1">
      <c r="A421" s="46" t="s">
        <v>176</v>
      </c>
      <c r="B421" s="39" t="s">
        <v>490</v>
      </c>
      <c r="C421" s="48" t="s">
        <v>234</v>
      </c>
      <c r="D421" s="38" t="s">
        <v>175</v>
      </c>
      <c r="E421" s="57">
        <f>800</f>
        <v>800</v>
      </c>
      <c r="F421" s="39"/>
    </row>
    <row r="422" spans="1:8" s="5" customFormat="1" ht="18" customHeight="1">
      <c r="A422" s="23" t="s">
        <v>114</v>
      </c>
      <c r="B422" s="19" t="s">
        <v>115</v>
      </c>
      <c r="C422" s="19"/>
      <c r="D422" s="19"/>
      <c r="E422" s="20">
        <f>E430+E535+E444+E423+E494</f>
        <v>595936.6</v>
      </c>
      <c r="F422" s="20">
        <f>F430+F535+F444+F423+F494</f>
        <v>198863.6</v>
      </c>
      <c r="H422" s="101"/>
    </row>
    <row r="423" spans="1:6" s="5" customFormat="1" ht="18" customHeight="1">
      <c r="A423" s="59" t="s">
        <v>515</v>
      </c>
      <c r="B423" s="63" t="s">
        <v>514</v>
      </c>
      <c r="C423" s="19"/>
      <c r="D423" s="19"/>
      <c r="E423" s="20">
        <f>E424</f>
        <v>8778</v>
      </c>
      <c r="F423" s="20">
        <f>F424</f>
        <v>8778</v>
      </c>
    </row>
    <row r="424" spans="1:6" s="5" customFormat="1" ht="78" customHeight="1">
      <c r="A424" s="36" t="s">
        <v>269</v>
      </c>
      <c r="B424" s="47" t="s">
        <v>514</v>
      </c>
      <c r="C424" s="48" t="s">
        <v>36</v>
      </c>
      <c r="D424" s="48"/>
      <c r="E424" s="53">
        <f>E425</f>
        <v>8778</v>
      </c>
      <c r="F424" s="53">
        <f>F425</f>
        <v>8778</v>
      </c>
    </row>
    <row r="425" spans="1:6" s="5" customFormat="1" ht="63.75" customHeight="1">
      <c r="A425" s="46" t="s">
        <v>254</v>
      </c>
      <c r="B425" s="47" t="s">
        <v>514</v>
      </c>
      <c r="C425" s="48" t="s">
        <v>446</v>
      </c>
      <c r="D425" s="48"/>
      <c r="E425" s="53">
        <f>E428+E426</f>
        <v>8778</v>
      </c>
      <c r="F425" s="53">
        <f>F428+F426</f>
        <v>8778</v>
      </c>
    </row>
    <row r="426" spans="1:6" s="5" customFormat="1" ht="62.25" customHeight="1">
      <c r="A426" s="46" t="s">
        <v>331</v>
      </c>
      <c r="B426" s="47" t="s">
        <v>514</v>
      </c>
      <c r="C426" s="48" t="s">
        <v>446</v>
      </c>
      <c r="D426" s="48" t="s">
        <v>179</v>
      </c>
      <c r="E426" s="53">
        <f>E427</f>
        <v>1108</v>
      </c>
      <c r="F426" s="53">
        <f>F427</f>
        <v>1108</v>
      </c>
    </row>
    <row r="427" spans="1:6" s="5" customFormat="1" ht="18" customHeight="1">
      <c r="A427" s="46" t="s">
        <v>172</v>
      </c>
      <c r="B427" s="47" t="s">
        <v>514</v>
      </c>
      <c r="C427" s="48" t="s">
        <v>446</v>
      </c>
      <c r="D427" s="48" t="s">
        <v>171</v>
      </c>
      <c r="E427" s="53">
        <f>1007+101</f>
        <v>1108</v>
      </c>
      <c r="F427" s="53">
        <f>E427</f>
        <v>1108</v>
      </c>
    </row>
    <row r="428" spans="1:6" s="5" customFormat="1" ht="21.75" customHeight="1">
      <c r="A428" s="46" t="s">
        <v>174</v>
      </c>
      <c r="B428" s="47" t="s">
        <v>514</v>
      </c>
      <c r="C428" s="48" t="s">
        <v>446</v>
      </c>
      <c r="D428" s="48" t="s">
        <v>173</v>
      </c>
      <c r="E428" s="53">
        <f>E429</f>
        <v>7670</v>
      </c>
      <c r="F428" s="53">
        <f>F429</f>
        <v>7670</v>
      </c>
    </row>
    <row r="429" spans="1:6" s="5" customFormat="1" ht="33" customHeight="1">
      <c r="A429" s="58" t="s">
        <v>176</v>
      </c>
      <c r="B429" s="47" t="s">
        <v>514</v>
      </c>
      <c r="C429" s="48" t="s">
        <v>446</v>
      </c>
      <c r="D429" s="47" t="s">
        <v>175</v>
      </c>
      <c r="E429" s="50">
        <f>4058+3612</f>
        <v>7670</v>
      </c>
      <c r="F429" s="50">
        <f>E429</f>
        <v>7670</v>
      </c>
    </row>
    <row r="430" spans="1:8" s="1" customFormat="1" ht="17.25" customHeight="1">
      <c r="A430" s="59" t="s">
        <v>141</v>
      </c>
      <c r="B430" s="63" t="s">
        <v>142</v>
      </c>
      <c r="C430" s="63"/>
      <c r="D430" s="63"/>
      <c r="E430" s="13">
        <f>E431</f>
        <v>21475.9</v>
      </c>
      <c r="F430" s="13">
        <f>F431</f>
        <v>4682</v>
      </c>
      <c r="H430" s="100"/>
    </row>
    <row r="431" spans="1:6" s="1" customFormat="1" ht="52.5" customHeight="1">
      <c r="A431" s="58" t="s">
        <v>268</v>
      </c>
      <c r="B431" s="39" t="s">
        <v>142</v>
      </c>
      <c r="C431" s="39" t="s">
        <v>348</v>
      </c>
      <c r="D431" s="39"/>
      <c r="E431" s="40">
        <f>E432</f>
        <v>21475.9</v>
      </c>
      <c r="F431" s="40">
        <f>F432</f>
        <v>4682</v>
      </c>
    </row>
    <row r="432" spans="1:6" s="1" customFormat="1" ht="46.5" customHeight="1">
      <c r="A432" s="58" t="s">
        <v>316</v>
      </c>
      <c r="B432" s="39" t="s">
        <v>142</v>
      </c>
      <c r="C432" s="39" t="s">
        <v>317</v>
      </c>
      <c r="D432" s="39"/>
      <c r="E432" s="40">
        <f>E436+E439+E433</f>
        <v>21475.9</v>
      </c>
      <c r="F432" s="40">
        <f>F436+F439+F433</f>
        <v>4682</v>
      </c>
    </row>
    <row r="433" spans="1:6" s="1" customFormat="1" ht="51.75" customHeight="1">
      <c r="A433" s="51" t="s">
        <v>527</v>
      </c>
      <c r="B433" s="39" t="s">
        <v>142</v>
      </c>
      <c r="C433" s="39" t="s">
        <v>696</v>
      </c>
      <c r="D433" s="39"/>
      <c r="E433" s="40">
        <f>E434</f>
        <v>4682</v>
      </c>
      <c r="F433" s="40">
        <f>F434</f>
        <v>4682</v>
      </c>
    </row>
    <row r="434" spans="1:6" s="1" customFormat="1" ht="21" customHeight="1">
      <c r="A434" s="46" t="s">
        <v>174</v>
      </c>
      <c r="B434" s="10" t="s">
        <v>142</v>
      </c>
      <c r="C434" s="39" t="s">
        <v>696</v>
      </c>
      <c r="D434" s="10" t="s">
        <v>173</v>
      </c>
      <c r="E434" s="57">
        <f>E435</f>
        <v>4682</v>
      </c>
      <c r="F434" s="57">
        <f>F435</f>
        <v>4682</v>
      </c>
    </row>
    <row r="435" spans="1:6" s="1" customFormat="1" ht="31.5" customHeight="1">
      <c r="A435" s="58" t="s">
        <v>176</v>
      </c>
      <c r="B435" s="39" t="s">
        <v>142</v>
      </c>
      <c r="C435" s="39" t="s">
        <v>696</v>
      </c>
      <c r="D435" s="39" t="s">
        <v>175</v>
      </c>
      <c r="E435" s="40">
        <f>4682</f>
        <v>4682</v>
      </c>
      <c r="F435" s="40">
        <f>4682</f>
        <v>4682</v>
      </c>
    </row>
    <row r="436" spans="1:6" s="1" customFormat="1" ht="63" customHeight="1">
      <c r="A436" s="51" t="s">
        <v>157</v>
      </c>
      <c r="B436" s="39" t="s">
        <v>142</v>
      </c>
      <c r="C436" s="39" t="s">
        <v>318</v>
      </c>
      <c r="D436" s="39"/>
      <c r="E436" s="40">
        <f>E437</f>
        <v>1010</v>
      </c>
      <c r="F436" s="40"/>
    </row>
    <row r="437" spans="1:6" s="1" customFormat="1" ht="18.75" customHeight="1">
      <c r="A437" s="46" t="s">
        <v>174</v>
      </c>
      <c r="B437" s="10" t="s">
        <v>142</v>
      </c>
      <c r="C437" s="39" t="s">
        <v>318</v>
      </c>
      <c r="D437" s="10" t="s">
        <v>173</v>
      </c>
      <c r="E437" s="57">
        <f>E438</f>
        <v>1010</v>
      </c>
      <c r="F437" s="57"/>
    </row>
    <row r="438" spans="1:6" s="1" customFormat="1" ht="31.5" customHeight="1">
      <c r="A438" s="58" t="s">
        <v>176</v>
      </c>
      <c r="B438" s="39" t="s">
        <v>142</v>
      </c>
      <c r="C438" s="39" t="s">
        <v>318</v>
      </c>
      <c r="D438" s="39" t="s">
        <v>175</v>
      </c>
      <c r="E438" s="40">
        <f>1010</f>
        <v>1010</v>
      </c>
      <c r="F438" s="40"/>
    </row>
    <row r="439" spans="1:6" s="1" customFormat="1" ht="21.75" customHeight="1">
      <c r="A439" s="46" t="s">
        <v>217</v>
      </c>
      <c r="B439" s="10" t="s">
        <v>142</v>
      </c>
      <c r="C439" s="39" t="s">
        <v>319</v>
      </c>
      <c r="D439" s="10"/>
      <c r="E439" s="57">
        <f>E440+E442</f>
        <v>15783.9</v>
      </c>
      <c r="F439" s="57"/>
    </row>
    <row r="440" spans="1:6" s="1" customFormat="1" ht="20.25" customHeight="1">
      <c r="A440" s="46" t="s">
        <v>174</v>
      </c>
      <c r="B440" s="10" t="s">
        <v>142</v>
      </c>
      <c r="C440" s="39" t="s">
        <v>319</v>
      </c>
      <c r="D440" s="10" t="s">
        <v>173</v>
      </c>
      <c r="E440" s="57">
        <f>E441</f>
        <v>15211.6</v>
      </c>
      <c r="F440" s="57"/>
    </row>
    <row r="441" spans="1:6" s="1" customFormat="1" ht="31.5" customHeight="1">
      <c r="A441" s="58" t="s">
        <v>176</v>
      </c>
      <c r="B441" s="10" t="s">
        <v>142</v>
      </c>
      <c r="C441" s="39" t="s">
        <v>319</v>
      </c>
      <c r="D441" s="10" t="s">
        <v>175</v>
      </c>
      <c r="E441" s="57">
        <f>15211.6</f>
        <v>15211.6</v>
      </c>
      <c r="F441" s="57"/>
    </row>
    <row r="442" spans="1:6" s="1" customFormat="1" ht="19.5" customHeight="1">
      <c r="A442" s="46" t="s">
        <v>178</v>
      </c>
      <c r="B442" s="10" t="s">
        <v>142</v>
      </c>
      <c r="C442" s="39" t="s">
        <v>319</v>
      </c>
      <c r="D442" s="10" t="s">
        <v>177</v>
      </c>
      <c r="E442" s="57">
        <f>E443</f>
        <v>572.3</v>
      </c>
      <c r="F442" s="57"/>
    </row>
    <row r="443" spans="1:6" s="1" customFormat="1" ht="20.25" customHeight="1">
      <c r="A443" s="46" t="s">
        <v>344</v>
      </c>
      <c r="B443" s="10" t="s">
        <v>142</v>
      </c>
      <c r="C443" s="39" t="s">
        <v>319</v>
      </c>
      <c r="D443" s="10" t="s">
        <v>343</v>
      </c>
      <c r="E443" s="57">
        <f>572.3</f>
        <v>572.3</v>
      </c>
      <c r="F443" s="57"/>
    </row>
    <row r="444" spans="1:6" s="1" customFormat="1" ht="18.75" customHeight="1">
      <c r="A444" s="61" t="s">
        <v>13</v>
      </c>
      <c r="B444" s="62" t="s">
        <v>12</v>
      </c>
      <c r="C444" s="62"/>
      <c r="D444" s="62"/>
      <c r="E444" s="12">
        <f>E445+E483</f>
        <v>450894.7</v>
      </c>
      <c r="F444" s="12">
        <f>F445</f>
        <v>155204</v>
      </c>
    </row>
    <row r="445" spans="1:6" s="1" customFormat="1" ht="53.25" customHeight="1">
      <c r="A445" s="58" t="s">
        <v>268</v>
      </c>
      <c r="B445" s="10" t="s">
        <v>12</v>
      </c>
      <c r="C445" s="10" t="s">
        <v>348</v>
      </c>
      <c r="D445" s="10"/>
      <c r="E445" s="57">
        <f>E446</f>
        <v>397105.7</v>
      </c>
      <c r="F445" s="57">
        <f>F446</f>
        <v>155204</v>
      </c>
    </row>
    <row r="446" spans="1:6" s="1" customFormat="1" ht="48" customHeight="1">
      <c r="A446" s="58" t="s">
        <v>471</v>
      </c>
      <c r="B446" s="10" t="s">
        <v>12</v>
      </c>
      <c r="C446" s="10" t="s">
        <v>320</v>
      </c>
      <c r="D446" s="10"/>
      <c r="E446" s="57">
        <f>E447+E456+E462+E465+E468+E480+E450+E471+E474+E477+E453+E459</f>
        <v>397105.7</v>
      </c>
      <c r="F446" s="57">
        <f>F447+F456+F462+F465+F468+F480+F450+F471+F474+F477+F453+F459</f>
        <v>155204</v>
      </c>
    </row>
    <row r="447" spans="1:6" s="1" customFormat="1" ht="33.75" customHeight="1">
      <c r="A447" s="41" t="s">
        <v>264</v>
      </c>
      <c r="B447" s="10" t="s">
        <v>12</v>
      </c>
      <c r="C447" s="39" t="s">
        <v>321</v>
      </c>
      <c r="D447" s="48"/>
      <c r="E447" s="53">
        <f>E448</f>
        <v>60635.2</v>
      </c>
      <c r="F447" s="57"/>
    </row>
    <row r="448" spans="1:6" s="1" customFormat="1" ht="33" customHeight="1">
      <c r="A448" s="36" t="s">
        <v>339</v>
      </c>
      <c r="B448" s="10" t="s">
        <v>12</v>
      </c>
      <c r="C448" s="39" t="s">
        <v>321</v>
      </c>
      <c r="D448" s="48" t="s">
        <v>338</v>
      </c>
      <c r="E448" s="53">
        <f>E449</f>
        <v>60635.2</v>
      </c>
      <c r="F448" s="57"/>
    </row>
    <row r="449" spans="1:6" s="1" customFormat="1" ht="24" customHeight="1">
      <c r="A449" s="42" t="s">
        <v>337</v>
      </c>
      <c r="B449" s="10" t="s">
        <v>12</v>
      </c>
      <c r="C449" s="39" t="s">
        <v>321</v>
      </c>
      <c r="D449" s="47" t="s">
        <v>336</v>
      </c>
      <c r="E449" s="50">
        <f>50577.6+4300+1702.6+3780+275</f>
        <v>60635.2</v>
      </c>
      <c r="F449" s="40"/>
    </row>
    <row r="450" spans="1:6" s="1" customFormat="1" ht="45" customHeight="1">
      <c r="A450" s="42" t="s">
        <v>592</v>
      </c>
      <c r="B450" s="10" t="s">
        <v>12</v>
      </c>
      <c r="C450" s="39" t="s">
        <v>322</v>
      </c>
      <c r="D450" s="47"/>
      <c r="E450" s="53">
        <f>E451</f>
        <v>23349</v>
      </c>
      <c r="F450" s="53">
        <f>F451</f>
        <v>23349</v>
      </c>
    </row>
    <row r="451" spans="1:6" s="1" customFormat="1" ht="29.25" customHeight="1">
      <c r="A451" s="36" t="s">
        <v>339</v>
      </c>
      <c r="B451" s="10" t="s">
        <v>12</v>
      </c>
      <c r="C451" s="39" t="s">
        <v>322</v>
      </c>
      <c r="D451" s="48" t="s">
        <v>338</v>
      </c>
      <c r="E451" s="53">
        <f>E452</f>
        <v>23349</v>
      </c>
      <c r="F451" s="53">
        <f>F452</f>
        <v>23349</v>
      </c>
    </row>
    <row r="452" spans="1:6" s="1" customFormat="1" ht="24" customHeight="1">
      <c r="A452" s="42" t="s">
        <v>337</v>
      </c>
      <c r="B452" s="10" t="s">
        <v>12</v>
      </c>
      <c r="C452" s="39" t="s">
        <v>322</v>
      </c>
      <c r="D452" s="47" t="s">
        <v>336</v>
      </c>
      <c r="E452" s="50">
        <f>23584-235</f>
        <v>23349</v>
      </c>
      <c r="F452" s="50">
        <f>E452</f>
        <v>23349</v>
      </c>
    </row>
    <row r="453" spans="1:6" s="1" customFormat="1" ht="75" customHeight="1">
      <c r="A453" s="42" t="s">
        <v>680</v>
      </c>
      <c r="B453" s="10" t="s">
        <v>12</v>
      </c>
      <c r="C453" s="39" t="s">
        <v>685</v>
      </c>
      <c r="D453" s="47"/>
      <c r="E453" s="50">
        <f>E454</f>
        <v>131855</v>
      </c>
      <c r="F453" s="50">
        <f>F454</f>
        <v>131855</v>
      </c>
    </row>
    <row r="454" spans="1:6" s="1" customFormat="1" ht="27.75" customHeight="1">
      <c r="A454" s="36" t="s">
        <v>339</v>
      </c>
      <c r="B454" s="39" t="s">
        <v>12</v>
      </c>
      <c r="C454" s="39" t="s">
        <v>685</v>
      </c>
      <c r="D454" s="39" t="s">
        <v>338</v>
      </c>
      <c r="E454" s="40">
        <f>E455</f>
        <v>131855</v>
      </c>
      <c r="F454" s="40">
        <f>F455</f>
        <v>131855</v>
      </c>
    </row>
    <row r="455" spans="1:6" s="1" customFormat="1" ht="20.25" customHeight="1">
      <c r="A455" s="42" t="s">
        <v>337</v>
      </c>
      <c r="B455" s="39" t="s">
        <v>12</v>
      </c>
      <c r="C455" s="39" t="s">
        <v>685</v>
      </c>
      <c r="D455" s="39" t="s">
        <v>336</v>
      </c>
      <c r="E455" s="40">
        <f>69621+62234</f>
        <v>131855</v>
      </c>
      <c r="F455" s="40">
        <f>E455</f>
        <v>131855</v>
      </c>
    </row>
    <row r="456" spans="1:6" s="1" customFormat="1" ht="45.75" customHeight="1">
      <c r="A456" s="42" t="s">
        <v>593</v>
      </c>
      <c r="B456" s="39" t="s">
        <v>12</v>
      </c>
      <c r="C456" s="39" t="s">
        <v>322</v>
      </c>
      <c r="D456" s="39"/>
      <c r="E456" s="40">
        <f>E457</f>
        <v>9656</v>
      </c>
      <c r="F456" s="57"/>
    </row>
    <row r="457" spans="1:6" s="1" customFormat="1" ht="31.5" customHeight="1">
      <c r="A457" s="36" t="s">
        <v>339</v>
      </c>
      <c r="B457" s="39" t="s">
        <v>12</v>
      </c>
      <c r="C457" s="39" t="s">
        <v>322</v>
      </c>
      <c r="D457" s="39" t="s">
        <v>338</v>
      </c>
      <c r="E457" s="40">
        <f>E458</f>
        <v>9656</v>
      </c>
      <c r="F457" s="57"/>
    </row>
    <row r="458" spans="1:6" s="1" customFormat="1" ht="18.75" customHeight="1">
      <c r="A458" s="42" t="s">
        <v>337</v>
      </c>
      <c r="B458" s="39" t="s">
        <v>12</v>
      </c>
      <c r="C458" s="39" t="s">
        <v>322</v>
      </c>
      <c r="D458" s="39" t="s">
        <v>336</v>
      </c>
      <c r="E458" s="40">
        <f>10989-704-629</f>
        <v>9656</v>
      </c>
      <c r="F458" s="57"/>
    </row>
    <row r="459" spans="1:6" s="1" customFormat="1" ht="62.25" customHeight="1">
      <c r="A459" s="42" t="s">
        <v>686</v>
      </c>
      <c r="B459" s="10" t="s">
        <v>12</v>
      </c>
      <c r="C459" s="39" t="s">
        <v>685</v>
      </c>
      <c r="D459" s="47"/>
      <c r="E459" s="50">
        <f>E460</f>
        <v>1333</v>
      </c>
      <c r="F459" s="57"/>
    </row>
    <row r="460" spans="1:6" s="1" customFormat="1" ht="31.5" customHeight="1">
      <c r="A460" s="36" t="s">
        <v>339</v>
      </c>
      <c r="B460" s="39" t="s">
        <v>12</v>
      </c>
      <c r="C460" s="39" t="s">
        <v>685</v>
      </c>
      <c r="D460" s="39" t="s">
        <v>338</v>
      </c>
      <c r="E460" s="40">
        <f>E461</f>
        <v>1333</v>
      </c>
      <c r="F460" s="57"/>
    </row>
    <row r="461" spans="1:6" s="1" customFormat="1" ht="21" customHeight="1">
      <c r="A461" s="42" t="s">
        <v>337</v>
      </c>
      <c r="B461" s="39" t="s">
        <v>12</v>
      </c>
      <c r="C461" s="39" t="s">
        <v>685</v>
      </c>
      <c r="D461" s="39" t="s">
        <v>336</v>
      </c>
      <c r="E461" s="40">
        <f>704+629</f>
        <v>1333</v>
      </c>
      <c r="F461" s="57"/>
    </row>
    <row r="462" spans="1:6" s="1" customFormat="1" ht="91.5" customHeight="1">
      <c r="A462" s="43" t="s">
        <v>561</v>
      </c>
      <c r="B462" s="39" t="s">
        <v>12</v>
      </c>
      <c r="C462" s="10" t="s">
        <v>562</v>
      </c>
      <c r="D462" s="10"/>
      <c r="E462" s="40">
        <f>E463</f>
        <v>13696.6</v>
      </c>
      <c r="F462" s="57"/>
    </row>
    <row r="463" spans="1:6" s="1" customFormat="1" ht="28.5" customHeight="1">
      <c r="A463" s="36" t="s">
        <v>339</v>
      </c>
      <c r="B463" s="39" t="s">
        <v>12</v>
      </c>
      <c r="C463" s="10" t="s">
        <v>562</v>
      </c>
      <c r="D463" s="10" t="s">
        <v>338</v>
      </c>
      <c r="E463" s="40">
        <f>E464</f>
        <v>13696.6</v>
      </c>
      <c r="F463" s="57"/>
    </row>
    <row r="464" spans="1:6" s="1" customFormat="1" ht="24" customHeight="1">
      <c r="A464" s="42" t="s">
        <v>337</v>
      </c>
      <c r="B464" s="39" t="s">
        <v>12</v>
      </c>
      <c r="C464" s="10" t="s">
        <v>562</v>
      </c>
      <c r="D464" s="10" t="s">
        <v>336</v>
      </c>
      <c r="E464" s="40">
        <f>12340.3+7000-5516.3+816.1-943.5</f>
        <v>13696.6</v>
      </c>
      <c r="F464" s="57"/>
    </row>
    <row r="465" spans="1:6" s="1" customFormat="1" ht="59.25" customHeight="1">
      <c r="A465" s="42" t="s">
        <v>563</v>
      </c>
      <c r="B465" s="39" t="s">
        <v>12</v>
      </c>
      <c r="C465" s="39" t="s">
        <v>564</v>
      </c>
      <c r="D465" s="39"/>
      <c r="E465" s="40">
        <f>E466</f>
        <v>80845.7</v>
      </c>
      <c r="F465" s="57"/>
    </row>
    <row r="466" spans="1:6" s="1" customFormat="1" ht="27.75" customHeight="1">
      <c r="A466" s="60" t="s">
        <v>339</v>
      </c>
      <c r="B466" s="39" t="s">
        <v>12</v>
      </c>
      <c r="C466" s="39" t="s">
        <v>564</v>
      </c>
      <c r="D466" s="47" t="s">
        <v>338</v>
      </c>
      <c r="E466" s="50">
        <f>E467</f>
        <v>80845.7</v>
      </c>
      <c r="F466" s="57"/>
    </row>
    <row r="467" spans="1:6" s="1" customFormat="1" ht="24" customHeight="1">
      <c r="A467" s="58" t="s">
        <v>337</v>
      </c>
      <c r="B467" s="39" t="s">
        <v>12</v>
      </c>
      <c r="C467" s="39" t="s">
        <v>564</v>
      </c>
      <c r="D467" s="47" t="s">
        <v>336</v>
      </c>
      <c r="E467" s="50">
        <f>62868.9+14038.3+1877+2061.5</f>
        <v>80845.7</v>
      </c>
      <c r="F467" s="57"/>
    </row>
    <row r="468" spans="1:6" s="1" customFormat="1" ht="108.75" customHeight="1">
      <c r="A468" s="58" t="s">
        <v>565</v>
      </c>
      <c r="B468" s="39" t="s">
        <v>12</v>
      </c>
      <c r="C468" s="39" t="s">
        <v>566</v>
      </c>
      <c r="D468" s="39"/>
      <c r="E468" s="40">
        <f>E469</f>
        <v>3394.1999999999994</v>
      </c>
      <c r="F468" s="57"/>
    </row>
    <row r="469" spans="1:6" s="1" customFormat="1" ht="30.75" customHeight="1">
      <c r="A469" s="60" t="s">
        <v>339</v>
      </c>
      <c r="B469" s="39" t="s">
        <v>12</v>
      </c>
      <c r="C469" s="39" t="s">
        <v>566</v>
      </c>
      <c r="D469" s="39" t="s">
        <v>338</v>
      </c>
      <c r="E469" s="40">
        <f>E470</f>
        <v>3394.1999999999994</v>
      </c>
      <c r="F469" s="57"/>
    </row>
    <row r="470" spans="1:6" s="1" customFormat="1" ht="24" customHeight="1">
      <c r="A470" s="58" t="s">
        <v>337</v>
      </c>
      <c r="B470" s="39" t="s">
        <v>12</v>
      </c>
      <c r="C470" s="39" t="s">
        <v>566</v>
      </c>
      <c r="D470" s="39" t="s">
        <v>336</v>
      </c>
      <c r="E470" s="40">
        <f>11553.3-7343-816.1</f>
        <v>3394.1999999999994</v>
      </c>
      <c r="F470" s="57"/>
    </row>
    <row r="471" spans="1:6" s="1" customFormat="1" ht="107.25" customHeight="1">
      <c r="A471" s="58" t="s">
        <v>650</v>
      </c>
      <c r="B471" s="39" t="s">
        <v>12</v>
      </c>
      <c r="C471" s="39" t="s">
        <v>566</v>
      </c>
      <c r="D471" s="10"/>
      <c r="E471" s="40">
        <f>E472</f>
        <v>34855</v>
      </c>
      <c r="F471" s="57"/>
    </row>
    <row r="472" spans="1:6" s="1" customFormat="1" ht="32.25" customHeight="1">
      <c r="A472" s="60" t="s">
        <v>339</v>
      </c>
      <c r="B472" s="39" t="s">
        <v>12</v>
      </c>
      <c r="C472" s="39" t="s">
        <v>566</v>
      </c>
      <c r="D472" s="10" t="s">
        <v>338</v>
      </c>
      <c r="E472" s="40">
        <f>E473</f>
        <v>34855</v>
      </c>
      <c r="F472" s="57"/>
    </row>
    <row r="473" spans="1:6" s="1" customFormat="1" ht="24" customHeight="1">
      <c r="A473" s="58" t="s">
        <v>337</v>
      </c>
      <c r="B473" s="39" t="s">
        <v>12</v>
      </c>
      <c r="C473" s="39" t="s">
        <v>566</v>
      </c>
      <c r="D473" s="10" t="s">
        <v>336</v>
      </c>
      <c r="E473" s="40">
        <f>35207-352</f>
        <v>34855</v>
      </c>
      <c r="F473" s="57"/>
    </row>
    <row r="474" spans="1:6" s="1" customFormat="1" ht="122.25" customHeight="1">
      <c r="A474" s="58" t="s">
        <v>654</v>
      </c>
      <c r="B474" s="39" t="s">
        <v>12</v>
      </c>
      <c r="C474" s="39" t="s">
        <v>653</v>
      </c>
      <c r="D474" s="39"/>
      <c r="E474" s="40">
        <f>E475</f>
        <v>225</v>
      </c>
      <c r="F474" s="57"/>
    </row>
    <row r="475" spans="1:6" s="1" customFormat="1" ht="30.75" customHeight="1">
      <c r="A475" s="60" t="s">
        <v>339</v>
      </c>
      <c r="B475" s="39" t="s">
        <v>12</v>
      </c>
      <c r="C475" s="39" t="s">
        <v>653</v>
      </c>
      <c r="D475" s="39" t="s">
        <v>338</v>
      </c>
      <c r="E475" s="40">
        <f>E476</f>
        <v>225</v>
      </c>
      <c r="F475" s="57"/>
    </row>
    <row r="476" spans="1:6" s="1" customFormat="1" ht="24" customHeight="1">
      <c r="A476" s="58" t="s">
        <v>337</v>
      </c>
      <c r="B476" s="39" t="s">
        <v>12</v>
      </c>
      <c r="C476" s="39" t="s">
        <v>653</v>
      </c>
      <c r="D476" s="39" t="s">
        <v>336</v>
      </c>
      <c r="E476" s="40">
        <f>343-118</f>
        <v>225</v>
      </c>
      <c r="F476" s="57"/>
    </row>
    <row r="477" spans="1:6" s="1" customFormat="1" ht="135" customHeight="1">
      <c r="A477" s="58" t="s">
        <v>652</v>
      </c>
      <c r="B477" s="39" t="s">
        <v>12</v>
      </c>
      <c r="C477" s="39" t="s">
        <v>653</v>
      </c>
      <c r="D477" s="10"/>
      <c r="E477" s="40">
        <f>E478</f>
        <v>22261</v>
      </c>
      <c r="F477" s="57"/>
    </row>
    <row r="478" spans="1:6" s="1" customFormat="1" ht="29.25" customHeight="1">
      <c r="A478" s="60" t="s">
        <v>339</v>
      </c>
      <c r="B478" s="39" t="s">
        <v>12</v>
      </c>
      <c r="C478" s="39" t="s">
        <v>653</v>
      </c>
      <c r="D478" s="10" t="s">
        <v>338</v>
      </c>
      <c r="E478" s="40">
        <f>E479</f>
        <v>22261</v>
      </c>
      <c r="F478" s="57"/>
    </row>
    <row r="479" spans="1:6" s="1" customFormat="1" ht="24" customHeight="1">
      <c r="A479" s="58" t="s">
        <v>337</v>
      </c>
      <c r="B479" s="39" t="s">
        <v>12</v>
      </c>
      <c r="C479" s="39" t="s">
        <v>653</v>
      </c>
      <c r="D479" s="10" t="s">
        <v>336</v>
      </c>
      <c r="E479" s="40">
        <f>33950-11689</f>
        <v>22261</v>
      </c>
      <c r="F479" s="57"/>
    </row>
    <row r="480" spans="1:6" s="1" customFormat="1" ht="60.75" customHeight="1">
      <c r="A480" s="42" t="s">
        <v>589</v>
      </c>
      <c r="B480" s="39" t="s">
        <v>12</v>
      </c>
      <c r="C480" s="10" t="s">
        <v>590</v>
      </c>
      <c r="D480" s="10"/>
      <c r="E480" s="40">
        <f>E481</f>
        <v>15000</v>
      </c>
      <c r="F480" s="57"/>
    </row>
    <row r="481" spans="1:6" s="1" customFormat="1" ht="34.5" customHeight="1">
      <c r="A481" s="60" t="s">
        <v>651</v>
      </c>
      <c r="B481" s="39" t="s">
        <v>12</v>
      </c>
      <c r="C481" s="10" t="s">
        <v>590</v>
      </c>
      <c r="D481" s="10" t="s">
        <v>338</v>
      </c>
      <c r="E481" s="40">
        <f>E482</f>
        <v>15000</v>
      </c>
      <c r="F481" s="57"/>
    </row>
    <row r="482" spans="1:6" s="1" customFormat="1" ht="24" customHeight="1">
      <c r="A482" s="58" t="s">
        <v>337</v>
      </c>
      <c r="B482" s="39" t="s">
        <v>12</v>
      </c>
      <c r="C482" s="10" t="s">
        <v>590</v>
      </c>
      <c r="D482" s="10" t="s">
        <v>336</v>
      </c>
      <c r="E482" s="40">
        <v>15000</v>
      </c>
      <c r="F482" s="57"/>
    </row>
    <row r="483" spans="1:6" s="1" customFormat="1" ht="32.25" customHeight="1">
      <c r="A483" s="46" t="s">
        <v>482</v>
      </c>
      <c r="B483" s="39" t="s">
        <v>12</v>
      </c>
      <c r="C483" s="10" t="s">
        <v>449</v>
      </c>
      <c r="D483" s="10"/>
      <c r="E483" s="53">
        <f>E484</f>
        <v>53789</v>
      </c>
      <c r="F483" s="57"/>
    </row>
    <row r="484" spans="1:6" s="1" customFormat="1" ht="21" customHeight="1">
      <c r="A484" s="46" t="s">
        <v>472</v>
      </c>
      <c r="B484" s="39" t="s">
        <v>12</v>
      </c>
      <c r="C484" s="10" t="s">
        <v>473</v>
      </c>
      <c r="D484" s="10"/>
      <c r="E484" s="53">
        <f>E485+E488+E491</f>
        <v>53789</v>
      </c>
      <c r="F484" s="57"/>
    </row>
    <row r="485" spans="1:6" s="1" customFormat="1" ht="90.75" customHeight="1">
      <c r="A485" s="58" t="s">
        <v>655</v>
      </c>
      <c r="B485" s="39" t="s">
        <v>12</v>
      </c>
      <c r="C485" s="10" t="s">
        <v>567</v>
      </c>
      <c r="D485" s="48"/>
      <c r="E485" s="50">
        <f>E486</f>
        <v>17476.6</v>
      </c>
      <c r="F485" s="57"/>
    </row>
    <row r="486" spans="1:6" s="1" customFormat="1" ht="33.75" customHeight="1">
      <c r="A486" s="60" t="s">
        <v>339</v>
      </c>
      <c r="B486" s="39" t="s">
        <v>12</v>
      </c>
      <c r="C486" s="10" t="s">
        <v>567</v>
      </c>
      <c r="D486" s="48" t="s">
        <v>338</v>
      </c>
      <c r="E486" s="50">
        <f>E487</f>
        <v>17476.6</v>
      </c>
      <c r="F486" s="57"/>
    </row>
    <row r="487" spans="1:6" s="1" customFormat="1" ht="24" customHeight="1">
      <c r="A487" s="58" t="s">
        <v>337</v>
      </c>
      <c r="B487" s="39" t="s">
        <v>12</v>
      </c>
      <c r="C487" s="10" t="s">
        <v>567</v>
      </c>
      <c r="D487" s="48" t="s">
        <v>336</v>
      </c>
      <c r="E487" s="50">
        <f>22000-7756.2-1467.2+2700+2000</f>
        <v>17476.6</v>
      </c>
      <c r="F487" s="57"/>
    </row>
    <row r="488" spans="1:6" s="1" customFormat="1" ht="91.5" customHeight="1">
      <c r="A488" s="58" t="s">
        <v>699</v>
      </c>
      <c r="B488" s="39" t="s">
        <v>12</v>
      </c>
      <c r="C488" s="10" t="s">
        <v>700</v>
      </c>
      <c r="D488" s="48"/>
      <c r="E488" s="50">
        <f>E489</f>
        <v>27089</v>
      </c>
      <c r="F488" s="57"/>
    </row>
    <row r="489" spans="1:6" s="1" customFormat="1" ht="29.25" customHeight="1">
      <c r="A489" s="60" t="s">
        <v>339</v>
      </c>
      <c r="B489" s="39" t="s">
        <v>12</v>
      </c>
      <c r="C489" s="10" t="s">
        <v>700</v>
      </c>
      <c r="D489" s="48" t="s">
        <v>338</v>
      </c>
      <c r="E489" s="50">
        <f>E490</f>
        <v>27089</v>
      </c>
      <c r="F489" s="57"/>
    </row>
    <row r="490" spans="1:6" s="1" customFormat="1" ht="24" customHeight="1">
      <c r="A490" s="58" t="s">
        <v>337</v>
      </c>
      <c r="B490" s="39" t="s">
        <v>12</v>
      </c>
      <c r="C490" s="10" t="s">
        <v>700</v>
      </c>
      <c r="D490" s="48" t="s">
        <v>336</v>
      </c>
      <c r="E490" s="50">
        <f>27089</f>
        <v>27089</v>
      </c>
      <c r="F490" s="57"/>
    </row>
    <row r="491" spans="1:6" s="1" customFormat="1" ht="90.75" customHeight="1">
      <c r="A491" s="58" t="s">
        <v>656</v>
      </c>
      <c r="B491" s="39" t="s">
        <v>12</v>
      </c>
      <c r="C491" s="10" t="s">
        <v>700</v>
      </c>
      <c r="D491" s="48"/>
      <c r="E491" s="50">
        <f>E492</f>
        <v>9223.4</v>
      </c>
      <c r="F491" s="57"/>
    </row>
    <row r="492" spans="1:6" s="1" customFormat="1" ht="28.5" customHeight="1">
      <c r="A492" s="60" t="s">
        <v>339</v>
      </c>
      <c r="B492" s="39" t="s">
        <v>12</v>
      </c>
      <c r="C492" s="10" t="s">
        <v>700</v>
      </c>
      <c r="D492" s="48" t="s">
        <v>338</v>
      </c>
      <c r="E492" s="50">
        <f>E493</f>
        <v>9223.4</v>
      </c>
      <c r="F492" s="57"/>
    </row>
    <row r="493" spans="1:6" s="1" customFormat="1" ht="24" customHeight="1">
      <c r="A493" s="58" t="s">
        <v>337</v>
      </c>
      <c r="B493" s="39" t="s">
        <v>12</v>
      </c>
      <c r="C493" s="10" t="s">
        <v>700</v>
      </c>
      <c r="D493" s="48" t="s">
        <v>336</v>
      </c>
      <c r="E493" s="50">
        <f>9223.4</f>
        <v>9223.4</v>
      </c>
      <c r="F493" s="57"/>
    </row>
    <row r="494" spans="1:6" s="1" customFormat="1" ht="24" customHeight="1">
      <c r="A494" s="49" t="s">
        <v>537</v>
      </c>
      <c r="B494" s="122" t="s">
        <v>538</v>
      </c>
      <c r="C494" s="10"/>
      <c r="D494" s="48"/>
      <c r="E494" s="123">
        <f>E528+E495</f>
        <v>43985.700000000004</v>
      </c>
      <c r="F494" s="123">
        <f>F528+F495</f>
        <v>24884.6</v>
      </c>
    </row>
    <row r="495" spans="1:8" s="1" customFormat="1" ht="45" customHeight="1">
      <c r="A495" s="52" t="s">
        <v>271</v>
      </c>
      <c r="B495" s="37" t="s">
        <v>538</v>
      </c>
      <c r="C495" s="10" t="s">
        <v>135</v>
      </c>
      <c r="D495" s="48"/>
      <c r="E495" s="53">
        <f>E496+E503</f>
        <v>43461.700000000004</v>
      </c>
      <c r="F495" s="53">
        <f>F496+F503</f>
        <v>24479.6</v>
      </c>
      <c r="H495" s="100"/>
    </row>
    <row r="496" spans="1:6" s="1" customFormat="1" ht="20.25" customHeight="1">
      <c r="A496" s="60" t="s">
        <v>284</v>
      </c>
      <c r="B496" s="37" t="s">
        <v>538</v>
      </c>
      <c r="C496" s="10" t="s">
        <v>136</v>
      </c>
      <c r="D496" s="37"/>
      <c r="E496" s="53">
        <f>E497+E500</f>
        <v>3455.8</v>
      </c>
      <c r="F496" s="53">
        <f>F497</f>
        <v>972</v>
      </c>
    </row>
    <row r="497" spans="1:6" s="1" customFormat="1" ht="74.25" customHeight="1">
      <c r="A497" s="36" t="s">
        <v>586</v>
      </c>
      <c r="B497" s="37" t="s">
        <v>538</v>
      </c>
      <c r="C497" s="10" t="s">
        <v>588</v>
      </c>
      <c r="D497" s="38"/>
      <c r="E497" s="57">
        <f>E498</f>
        <v>972</v>
      </c>
      <c r="F497" s="57">
        <f>F498</f>
        <v>972</v>
      </c>
    </row>
    <row r="498" spans="1:6" s="1" customFormat="1" ht="32.25" customHeight="1">
      <c r="A498" s="52" t="s">
        <v>339</v>
      </c>
      <c r="B498" s="37" t="s">
        <v>538</v>
      </c>
      <c r="C498" s="10" t="s">
        <v>588</v>
      </c>
      <c r="D498" s="38" t="s">
        <v>338</v>
      </c>
      <c r="E498" s="57">
        <f>E499</f>
        <v>972</v>
      </c>
      <c r="F498" s="57">
        <f>F499</f>
        <v>972</v>
      </c>
    </row>
    <row r="499" spans="1:6" s="1" customFormat="1" ht="24" customHeight="1">
      <c r="A499" s="52" t="s">
        <v>337</v>
      </c>
      <c r="B499" s="37" t="s">
        <v>538</v>
      </c>
      <c r="C499" s="10" t="s">
        <v>588</v>
      </c>
      <c r="D499" s="38" t="s">
        <v>336</v>
      </c>
      <c r="E499" s="40">
        <f>1000-28</f>
        <v>972</v>
      </c>
      <c r="F499" s="40">
        <f>E499</f>
        <v>972</v>
      </c>
    </row>
    <row r="500" spans="1:6" s="1" customFormat="1" ht="90" customHeight="1">
      <c r="A500" s="36" t="s">
        <v>587</v>
      </c>
      <c r="B500" s="37" t="s">
        <v>538</v>
      </c>
      <c r="C500" s="10" t="s">
        <v>588</v>
      </c>
      <c r="D500" s="38"/>
      <c r="E500" s="57">
        <f>E501</f>
        <v>2483.8</v>
      </c>
      <c r="F500" s="57"/>
    </row>
    <row r="501" spans="1:6" s="1" customFormat="1" ht="33" customHeight="1">
      <c r="A501" s="52" t="s">
        <v>339</v>
      </c>
      <c r="B501" s="37" t="s">
        <v>538</v>
      </c>
      <c r="C501" s="10" t="s">
        <v>588</v>
      </c>
      <c r="D501" s="38" t="s">
        <v>338</v>
      </c>
      <c r="E501" s="57">
        <f>E502</f>
        <v>2483.8</v>
      </c>
      <c r="F501" s="57"/>
    </row>
    <row r="502" spans="1:6" s="1" customFormat="1" ht="21.75" customHeight="1">
      <c r="A502" s="52" t="s">
        <v>337</v>
      </c>
      <c r="B502" s="37" t="s">
        <v>538</v>
      </c>
      <c r="C502" s="10" t="s">
        <v>588</v>
      </c>
      <c r="D502" s="38" t="s">
        <v>336</v>
      </c>
      <c r="E502" s="40">
        <f>2497.8-14</f>
        <v>2483.8</v>
      </c>
      <c r="F502" s="57"/>
    </row>
    <row r="503" spans="1:6" s="1" customFormat="1" ht="24" customHeight="1">
      <c r="A503" s="36" t="s">
        <v>285</v>
      </c>
      <c r="B503" s="38" t="s">
        <v>538</v>
      </c>
      <c r="C503" s="10" t="s">
        <v>33</v>
      </c>
      <c r="D503" s="37"/>
      <c r="E503" s="53">
        <f>E504+E507+E510+E516+E513+E519+E522+E525</f>
        <v>40005.9</v>
      </c>
      <c r="F503" s="53">
        <f>F504+F507+F510+F516+F513+F519</f>
        <v>23507.6</v>
      </c>
    </row>
    <row r="504" spans="1:6" s="1" customFormat="1" ht="75.75" customHeight="1">
      <c r="A504" s="36" t="s">
        <v>586</v>
      </c>
      <c r="B504" s="38" t="s">
        <v>538</v>
      </c>
      <c r="C504" s="10" t="s">
        <v>731</v>
      </c>
      <c r="D504" s="38"/>
      <c r="E504" s="57">
        <f>E505</f>
        <v>2856.6</v>
      </c>
      <c r="F504" s="57">
        <f>F505</f>
        <v>2856.6</v>
      </c>
    </row>
    <row r="505" spans="1:6" s="1" customFormat="1" ht="33" customHeight="1">
      <c r="A505" s="52" t="s">
        <v>339</v>
      </c>
      <c r="B505" s="38" t="s">
        <v>538</v>
      </c>
      <c r="C505" s="10" t="s">
        <v>731</v>
      </c>
      <c r="D505" s="38" t="s">
        <v>338</v>
      </c>
      <c r="E505" s="57">
        <f>E506</f>
        <v>2856.6</v>
      </c>
      <c r="F505" s="57">
        <f>F506</f>
        <v>2856.6</v>
      </c>
    </row>
    <row r="506" spans="1:6" s="1" customFormat="1" ht="24" customHeight="1">
      <c r="A506" s="52" t="s">
        <v>337</v>
      </c>
      <c r="B506" s="38" t="s">
        <v>538</v>
      </c>
      <c r="C506" s="10" t="s">
        <v>731</v>
      </c>
      <c r="D506" s="38" t="s">
        <v>336</v>
      </c>
      <c r="E506" s="40">
        <f>2912-83.4+28</f>
        <v>2856.6</v>
      </c>
      <c r="F506" s="40">
        <f>E506</f>
        <v>2856.6</v>
      </c>
    </row>
    <row r="507" spans="1:6" s="1" customFormat="1" ht="91.5" customHeight="1">
      <c r="A507" s="36" t="s">
        <v>587</v>
      </c>
      <c r="B507" s="37" t="s">
        <v>538</v>
      </c>
      <c r="C507" s="10" t="s">
        <v>731</v>
      </c>
      <c r="D507" s="38"/>
      <c r="E507" s="57">
        <f>E508</f>
        <v>8884.199999999999</v>
      </c>
      <c r="F507" s="57"/>
    </row>
    <row r="508" spans="1:6" s="1" customFormat="1" ht="30.75" customHeight="1">
      <c r="A508" s="52" t="s">
        <v>339</v>
      </c>
      <c r="B508" s="37" t="s">
        <v>538</v>
      </c>
      <c r="C508" s="10" t="s">
        <v>731</v>
      </c>
      <c r="D508" s="38" t="s">
        <v>338</v>
      </c>
      <c r="E508" s="57">
        <f>E509</f>
        <v>8884.199999999999</v>
      </c>
      <c r="F508" s="57"/>
    </row>
    <row r="509" spans="1:6" s="1" customFormat="1" ht="24" customHeight="1">
      <c r="A509" s="52" t="s">
        <v>337</v>
      </c>
      <c r="B509" s="37" t="s">
        <v>538</v>
      </c>
      <c r="C509" s="10" t="s">
        <v>731</v>
      </c>
      <c r="D509" s="38" t="s">
        <v>336</v>
      </c>
      <c r="E509" s="40">
        <f>12456.3-3447.1-157+14+18</f>
        <v>8884.199999999999</v>
      </c>
      <c r="F509" s="57"/>
    </row>
    <row r="510" spans="1:6" s="1" customFormat="1" ht="78" customHeight="1">
      <c r="A510" s="36" t="s">
        <v>626</v>
      </c>
      <c r="B510" s="37" t="s">
        <v>538</v>
      </c>
      <c r="C510" s="10" t="s">
        <v>730</v>
      </c>
      <c r="D510" s="38"/>
      <c r="E510" s="57">
        <f>E511</f>
        <v>3447.1</v>
      </c>
      <c r="F510" s="57"/>
    </row>
    <row r="511" spans="1:6" s="1" customFormat="1" ht="33.75" customHeight="1">
      <c r="A511" s="52" t="s">
        <v>339</v>
      </c>
      <c r="B511" s="37" t="s">
        <v>538</v>
      </c>
      <c r="C511" s="10" t="s">
        <v>730</v>
      </c>
      <c r="D511" s="38" t="s">
        <v>338</v>
      </c>
      <c r="E511" s="57">
        <f>E512</f>
        <v>3447.1</v>
      </c>
      <c r="F511" s="57"/>
    </row>
    <row r="512" spans="1:6" s="1" customFormat="1" ht="24" customHeight="1">
      <c r="A512" s="52" t="s">
        <v>337</v>
      </c>
      <c r="B512" s="37" t="s">
        <v>538</v>
      </c>
      <c r="C512" s="10" t="s">
        <v>730</v>
      </c>
      <c r="D512" s="38" t="s">
        <v>336</v>
      </c>
      <c r="E512" s="40">
        <f>3447.1</f>
        <v>3447.1</v>
      </c>
      <c r="F512" s="57"/>
    </row>
    <row r="513" spans="1:6" s="1" customFormat="1" ht="45.75" customHeight="1">
      <c r="A513" s="52" t="s">
        <v>682</v>
      </c>
      <c r="B513" s="37" t="s">
        <v>538</v>
      </c>
      <c r="C513" s="10" t="s">
        <v>683</v>
      </c>
      <c r="D513" s="38"/>
      <c r="E513" s="57">
        <f>E514</f>
        <v>9256</v>
      </c>
      <c r="F513" s="57">
        <f>F514</f>
        <v>8623</v>
      </c>
    </row>
    <row r="514" spans="1:6" s="1" customFormat="1" ht="32.25" customHeight="1">
      <c r="A514" s="52" t="s">
        <v>339</v>
      </c>
      <c r="B514" s="37" t="s">
        <v>538</v>
      </c>
      <c r="C514" s="10" t="s">
        <v>683</v>
      </c>
      <c r="D514" s="38" t="s">
        <v>338</v>
      </c>
      <c r="E514" s="57">
        <f>E515</f>
        <v>9256</v>
      </c>
      <c r="F514" s="57">
        <f>F515</f>
        <v>8623</v>
      </c>
    </row>
    <row r="515" spans="1:6" s="1" customFormat="1" ht="20.25" customHeight="1">
      <c r="A515" s="52" t="s">
        <v>337</v>
      </c>
      <c r="B515" s="37" t="s">
        <v>538</v>
      </c>
      <c r="C515" s="10" t="s">
        <v>683</v>
      </c>
      <c r="D515" s="38" t="s">
        <v>336</v>
      </c>
      <c r="E515" s="40">
        <f>8623+633</f>
        <v>9256</v>
      </c>
      <c r="F515" s="57">
        <v>8623</v>
      </c>
    </row>
    <row r="516" spans="1:6" s="1" customFormat="1" ht="32.25" customHeight="1">
      <c r="A516" s="52" t="s">
        <v>681</v>
      </c>
      <c r="B516" s="37" t="s">
        <v>538</v>
      </c>
      <c r="C516" s="10" t="s">
        <v>688</v>
      </c>
      <c r="D516" s="38"/>
      <c r="E516" s="57">
        <f>E517</f>
        <v>1758</v>
      </c>
      <c r="F516" s="57">
        <f>F517</f>
        <v>1758</v>
      </c>
    </row>
    <row r="517" spans="1:6" s="1" customFormat="1" ht="31.5" customHeight="1">
      <c r="A517" s="52" t="s">
        <v>339</v>
      </c>
      <c r="B517" s="37" t="s">
        <v>538</v>
      </c>
      <c r="C517" s="10" t="s">
        <v>688</v>
      </c>
      <c r="D517" s="38" t="s">
        <v>338</v>
      </c>
      <c r="E517" s="57">
        <f>E518</f>
        <v>1758</v>
      </c>
      <c r="F517" s="57">
        <f>F518</f>
        <v>1758</v>
      </c>
    </row>
    <row r="518" spans="1:6" s="1" customFormat="1" ht="20.25" customHeight="1">
      <c r="A518" s="52" t="s">
        <v>337</v>
      </c>
      <c r="B518" s="37" t="s">
        <v>538</v>
      </c>
      <c r="C518" s="10" t="s">
        <v>688</v>
      </c>
      <c r="D518" s="38" t="s">
        <v>336</v>
      </c>
      <c r="E518" s="40">
        <f>1758</f>
        <v>1758</v>
      </c>
      <c r="F518" s="57">
        <f>E518</f>
        <v>1758</v>
      </c>
    </row>
    <row r="519" spans="1:6" s="1" customFormat="1" ht="50.25" customHeight="1">
      <c r="A519" s="52" t="s">
        <v>684</v>
      </c>
      <c r="B519" s="37" t="s">
        <v>538</v>
      </c>
      <c r="C519" s="10" t="s">
        <v>689</v>
      </c>
      <c r="D519" s="38"/>
      <c r="E519" s="57">
        <f>E520</f>
        <v>10270</v>
      </c>
      <c r="F519" s="57">
        <f>F520</f>
        <v>10270</v>
      </c>
    </row>
    <row r="520" spans="1:6" s="1" customFormat="1" ht="32.25" customHeight="1">
      <c r="A520" s="52" t="s">
        <v>339</v>
      </c>
      <c r="B520" s="37" t="s">
        <v>538</v>
      </c>
      <c r="C520" s="10" t="s">
        <v>689</v>
      </c>
      <c r="D520" s="38" t="s">
        <v>338</v>
      </c>
      <c r="E520" s="57">
        <f>E521</f>
        <v>10270</v>
      </c>
      <c r="F520" s="57">
        <f>F521</f>
        <v>10270</v>
      </c>
    </row>
    <row r="521" spans="1:6" s="1" customFormat="1" ht="20.25" customHeight="1">
      <c r="A521" s="52" t="s">
        <v>337</v>
      </c>
      <c r="B521" s="37" t="s">
        <v>538</v>
      </c>
      <c r="C521" s="10" t="s">
        <v>689</v>
      </c>
      <c r="D521" s="38" t="s">
        <v>336</v>
      </c>
      <c r="E521" s="40">
        <f>10270</f>
        <v>10270</v>
      </c>
      <c r="F521" s="57">
        <f>E521</f>
        <v>10270</v>
      </c>
    </row>
    <row r="522" spans="1:6" s="1" customFormat="1" ht="45.75" customHeight="1">
      <c r="A522" s="52" t="s">
        <v>687</v>
      </c>
      <c r="B522" s="37" t="s">
        <v>538</v>
      </c>
      <c r="C522" s="10" t="s">
        <v>688</v>
      </c>
      <c r="D522" s="38"/>
      <c r="E522" s="57">
        <f>E523</f>
        <v>517</v>
      </c>
      <c r="F522" s="57"/>
    </row>
    <row r="523" spans="1:6" s="1" customFormat="1" ht="30.75" customHeight="1">
      <c r="A523" s="52" t="s">
        <v>339</v>
      </c>
      <c r="B523" s="37" t="s">
        <v>538</v>
      </c>
      <c r="C523" s="10" t="s">
        <v>688</v>
      </c>
      <c r="D523" s="38" t="s">
        <v>338</v>
      </c>
      <c r="E523" s="57">
        <f>E524</f>
        <v>517</v>
      </c>
      <c r="F523" s="57"/>
    </row>
    <row r="524" spans="1:6" s="1" customFormat="1" ht="20.25" customHeight="1">
      <c r="A524" s="52" t="s">
        <v>337</v>
      </c>
      <c r="B524" s="37" t="s">
        <v>538</v>
      </c>
      <c r="C524" s="10" t="s">
        <v>688</v>
      </c>
      <c r="D524" s="38" t="s">
        <v>336</v>
      </c>
      <c r="E524" s="40">
        <f>517</f>
        <v>517</v>
      </c>
      <c r="F524" s="57"/>
    </row>
    <row r="525" spans="1:6" s="1" customFormat="1" ht="55.5" customHeight="1">
      <c r="A525" s="52" t="s">
        <v>690</v>
      </c>
      <c r="B525" s="37" t="s">
        <v>538</v>
      </c>
      <c r="C525" s="10" t="s">
        <v>689</v>
      </c>
      <c r="D525" s="38"/>
      <c r="E525" s="57">
        <f>E526</f>
        <v>3017</v>
      </c>
      <c r="F525" s="57"/>
    </row>
    <row r="526" spans="1:6" s="1" customFormat="1" ht="29.25" customHeight="1">
      <c r="A526" s="52" t="s">
        <v>339</v>
      </c>
      <c r="B526" s="37" t="s">
        <v>538</v>
      </c>
      <c r="C526" s="10" t="s">
        <v>689</v>
      </c>
      <c r="D526" s="38" t="s">
        <v>338</v>
      </c>
      <c r="E526" s="57">
        <f>E527</f>
        <v>3017</v>
      </c>
      <c r="F526" s="57"/>
    </row>
    <row r="527" spans="1:6" s="1" customFormat="1" ht="20.25" customHeight="1">
      <c r="A527" s="52" t="s">
        <v>337</v>
      </c>
      <c r="B527" s="37" t="s">
        <v>538</v>
      </c>
      <c r="C527" s="10" t="s">
        <v>689</v>
      </c>
      <c r="D527" s="38" t="s">
        <v>336</v>
      </c>
      <c r="E527" s="40">
        <f>3017</f>
        <v>3017</v>
      </c>
      <c r="F527" s="57"/>
    </row>
    <row r="528" spans="1:6" s="1" customFormat="1" ht="75" customHeight="1">
      <c r="A528" s="36" t="s">
        <v>265</v>
      </c>
      <c r="B528" s="39" t="s">
        <v>538</v>
      </c>
      <c r="C528" s="37" t="s">
        <v>241</v>
      </c>
      <c r="D528" s="63"/>
      <c r="E528" s="57">
        <f>E529+E532</f>
        <v>524</v>
      </c>
      <c r="F528" s="57">
        <f aca="true" t="shared" si="3" ref="E528:F530">F529</f>
        <v>405</v>
      </c>
    </row>
    <row r="529" spans="1:6" s="1" customFormat="1" ht="45" customHeight="1">
      <c r="A529" s="46" t="s">
        <v>539</v>
      </c>
      <c r="B529" s="39" t="s">
        <v>538</v>
      </c>
      <c r="C529" s="10" t="s">
        <v>591</v>
      </c>
      <c r="D529" s="48"/>
      <c r="E529" s="57">
        <f t="shared" si="3"/>
        <v>405</v>
      </c>
      <c r="F529" s="57">
        <f t="shared" si="3"/>
        <v>405</v>
      </c>
    </row>
    <row r="530" spans="1:6" s="1" customFormat="1" ht="21" customHeight="1">
      <c r="A530" s="46" t="s">
        <v>174</v>
      </c>
      <c r="B530" s="39" t="s">
        <v>538</v>
      </c>
      <c r="C530" s="10" t="s">
        <v>591</v>
      </c>
      <c r="D530" s="48" t="s">
        <v>173</v>
      </c>
      <c r="E530" s="57">
        <f t="shared" si="3"/>
        <v>405</v>
      </c>
      <c r="F530" s="57">
        <f t="shared" si="3"/>
        <v>405</v>
      </c>
    </row>
    <row r="531" spans="1:6" s="1" customFormat="1" ht="32.25" customHeight="1">
      <c r="A531" s="58" t="s">
        <v>176</v>
      </c>
      <c r="B531" s="39" t="s">
        <v>538</v>
      </c>
      <c r="C531" s="10" t="s">
        <v>591</v>
      </c>
      <c r="D531" s="48" t="s">
        <v>175</v>
      </c>
      <c r="E531" s="40">
        <v>405</v>
      </c>
      <c r="F531" s="40">
        <f>E531</f>
        <v>405</v>
      </c>
    </row>
    <row r="532" spans="1:6" s="1" customFormat="1" ht="45" customHeight="1">
      <c r="A532" s="46" t="s">
        <v>541</v>
      </c>
      <c r="B532" s="39" t="s">
        <v>538</v>
      </c>
      <c r="C532" s="10" t="s">
        <v>591</v>
      </c>
      <c r="D532" s="48"/>
      <c r="E532" s="57">
        <f>E533</f>
        <v>119</v>
      </c>
      <c r="F532" s="57">
        <f>F533</f>
        <v>0</v>
      </c>
    </row>
    <row r="533" spans="1:6" s="1" customFormat="1" ht="24.75" customHeight="1">
      <c r="A533" s="46" t="s">
        <v>174</v>
      </c>
      <c r="B533" s="39" t="s">
        <v>538</v>
      </c>
      <c r="C533" s="10" t="s">
        <v>591</v>
      </c>
      <c r="D533" s="48" t="s">
        <v>173</v>
      </c>
      <c r="E533" s="57">
        <f>E534</f>
        <v>119</v>
      </c>
      <c r="F533" s="57">
        <f>F534</f>
        <v>0</v>
      </c>
    </row>
    <row r="534" spans="1:6" s="1" customFormat="1" ht="32.25" customHeight="1">
      <c r="A534" s="58" t="s">
        <v>176</v>
      </c>
      <c r="B534" s="39" t="s">
        <v>538</v>
      </c>
      <c r="C534" s="10" t="s">
        <v>591</v>
      </c>
      <c r="D534" s="48" t="s">
        <v>175</v>
      </c>
      <c r="E534" s="40">
        <f>119</f>
        <v>119</v>
      </c>
      <c r="F534" s="40">
        <v>0</v>
      </c>
    </row>
    <row r="535" spans="1:6" s="1" customFormat="1" ht="18" customHeight="1">
      <c r="A535" s="49" t="s">
        <v>132</v>
      </c>
      <c r="B535" s="62" t="s">
        <v>147</v>
      </c>
      <c r="C535" s="62"/>
      <c r="D535" s="62"/>
      <c r="E535" s="12">
        <f>E540+E568+E581+E592+E536</f>
        <v>70802.3</v>
      </c>
      <c r="F535" s="12">
        <f>F540+F568+F581</f>
        <v>5315</v>
      </c>
    </row>
    <row r="536" spans="1:6" s="1" customFormat="1" ht="75" customHeight="1">
      <c r="A536" s="36" t="s">
        <v>269</v>
      </c>
      <c r="B536" s="39" t="s">
        <v>147</v>
      </c>
      <c r="C536" s="39" t="s">
        <v>36</v>
      </c>
      <c r="D536" s="62"/>
      <c r="E536" s="57">
        <f>E537</f>
        <v>350</v>
      </c>
      <c r="F536" s="12"/>
    </row>
    <row r="537" spans="1:6" s="1" customFormat="1" ht="75.75" customHeight="1">
      <c r="A537" s="36" t="s">
        <v>486</v>
      </c>
      <c r="B537" s="39" t="s">
        <v>147</v>
      </c>
      <c r="C537" s="39" t="s">
        <v>37</v>
      </c>
      <c r="D537" s="62"/>
      <c r="E537" s="57">
        <f>E538</f>
        <v>350</v>
      </c>
      <c r="F537" s="12"/>
    </row>
    <row r="538" spans="1:6" s="1" customFormat="1" ht="19.5" customHeight="1">
      <c r="A538" s="46" t="s">
        <v>174</v>
      </c>
      <c r="B538" s="10" t="s">
        <v>147</v>
      </c>
      <c r="C538" s="39" t="s">
        <v>37</v>
      </c>
      <c r="D538" s="10" t="s">
        <v>173</v>
      </c>
      <c r="E538" s="57">
        <f>E539</f>
        <v>350</v>
      </c>
      <c r="F538" s="57"/>
    </row>
    <row r="539" spans="1:6" s="1" customFormat="1" ht="29.25" customHeight="1">
      <c r="A539" s="58" t="s">
        <v>176</v>
      </c>
      <c r="B539" s="39" t="s">
        <v>147</v>
      </c>
      <c r="C539" s="39" t="s">
        <v>37</v>
      </c>
      <c r="D539" s="39" t="s">
        <v>175</v>
      </c>
      <c r="E539" s="40">
        <f>350</f>
        <v>350</v>
      </c>
      <c r="F539" s="40"/>
    </row>
    <row r="540" spans="1:6" s="1" customFormat="1" ht="46.5" customHeight="1">
      <c r="A540" s="46" t="s">
        <v>243</v>
      </c>
      <c r="B540" s="10" t="s">
        <v>147</v>
      </c>
      <c r="C540" s="48" t="s">
        <v>182</v>
      </c>
      <c r="D540" s="10"/>
      <c r="E540" s="57">
        <f>E541+E552+E549+E559+E555+E565+E562</f>
        <v>29909.100000000002</v>
      </c>
      <c r="F540" s="57"/>
    </row>
    <row r="541" spans="1:6" s="1" customFormat="1" ht="30" customHeight="1">
      <c r="A541" s="51" t="s">
        <v>340</v>
      </c>
      <c r="B541" s="39" t="s">
        <v>147</v>
      </c>
      <c r="C541" s="47" t="s">
        <v>183</v>
      </c>
      <c r="D541" s="39"/>
      <c r="E541" s="40">
        <f>E542</f>
        <v>19098.5</v>
      </c>
      <c r="F541" s="40"/>
    </row>
    <row r="542" spans="1:6" s="1" customFormat="1" ht="32.25" customHeight="1">
      <c r="A542" s="55" t="s">
        <v>485</v>
      </c>
      <c r="B542" s="39" t="s">
        <v>147</v>
      </c>
      <c r="C542" s="47" t="s">
        <v>183</v>
      </c>
      <c r="D542" s="10"/>
      <c r="E542" s="40">
        <f>E544+E546+E548</f>
        <v>19098.5</v>
      </c>
      <c r="F542" s="57"/>
    </row>
    <row r="543" spans="1:6" s="1" customFormat="1" ht="60.75" customHeight="1">
      <c r="A543" s="43" t="s">
        <v>331</v>
      </c>
      <c r="B543" s="10" t="s">
        <v>147</v>
      </c>
      <c r="C543" s="47" t="s">
        <v>183</v>
      </c>
      <c r="D543" s="10" t="s">
        <v>179</v>
      </c>
      <c r="E543" s="57">
        <f>E544</f>
        <v>17143</v>
      </c>
      <c r="F543" s="57"/>
    </row>
    <row r="544" spans="1:6" s="1" customFormat="1" ht="18" customHeight="1">
      <c r="A544" s="42" t="s">
        <v>333</v>
      </c>
      <c r="B544" s="39" t="s">
        <v>147</v>
      </c>
      <c r="C544" s="47" t="s">
        <v>183</v>
      </c>
      <c r="D544" s="39" t="s">
        <v>332</v>
      </c>
      <c r="E544" s="40">
        <f>16277.4+680+185.6</f>
        <v>17143</v>
      </c>
      <c r="F544" s="40"/>
    </row>
    <row r="545" spans="1:6" s="1" customFormat="1" ht="18.75" customHeight="1">
      <c r="A545" s="46" t="s">
        <v>174</v>
      </c>
      <c r="B545" s="10" t="s">
        <v>147</v>
      </c>
      <c r="C545" s="47" t="s">
        <v>183</v>
      </c>
      <c r="D545" s="10" t="s">
        <v>173</v>
      </c>
      <c r="E545" s="57">
        <f>E546</f>
        <v>1935.5</v>
      </c>
      <c r="F545" s="57"/>
    </row>
    <row r="546" spans="1:6" s="1" customFormat="1" ht="30" customHeight="1">
      <c r="A546" s="58" t="s">
        <v>176</v>
      </c>
      <c r="B546" s="39" t="s">
        <v>147</v>
      </c>
      <c r="C546" s="47" t="s">
        <v>183</v>
      </c>
      <c r="D546" s="39" t="s">
        <v>175</v>
      </c>
      <c r="E546" s="40">
        <f>2267.5-332</f>
        <v>1935.5</v>
      </c>
      <c r="F546" s="40"/>
    </row>
    <row r="547" spans="1:6" s="1" customFormat="1" ht="19.5" customHeight="1">
      <c r="A547" s="46" t="s">
        <v>178</v>
      </c>
      <c r="B547" s="39" t="s">
        <v>147</v>
      </c>
      <c r="C547" s="47" t="s">
        <v>183</v>
      </c>
      <c r="D547" s="10" t="s">
        <v>177</v>
      </c>
      <c r="E547" s="57">
        <f>E548</f>
        <v>20</v>
      </c>
      <c r="F547" s="57"/>
    </row>
    <row r="548" spans="1:6" s="1" customFormat="1" ht="19.5" customHeight="1">
      <c r="A548" s="58" t="s">
        <v>335</v>
      </c>
      <c r="B548" s="39" t="s">
        <v>147</v>
      </c>
      <c r="C548" s="47" t="s">
        <v>183</v>
      </c>
      <c r="D548" s="10" t="s">
        <v>334</v>
      </c>
      <c r="E548" s="57">
        <f>20</f>
        <v>20</v>
      </c>
      <c r="F548" s="57"/>
    </row>
    <row r="549" spans="1:6" s="1" customFormat="1" ht="32.25" customHeight="1">
      <c r="A549" s="58" t="s">
        <v>212</v>
      </c>
      <c r="B549" s="39" t="s">
        <v>147</v>
      </c>
      <c r="C549" s="47" t="s">
        <v>213</v>
      </c>
      <c r="D549" s="39"/>
      <c r="E549" s="40">
        <f>E550</f>
        <v>505</v>
      </c>
      <c r="F549" s="57"/>
    </row>
    <row r="550" spans="1:6" s="1" customFormat="1" ht="24.75" customHeight="1">
      <c r="A550" s="58" t="s">
        <v>174</v>
      </c>
      <c r="B550" s="39" t="s">
        <v>147</v>
      </c>
      <c r="C550" s="47" t="s">
        <v>213</v>
      </c>
      <c r="D550" s="39" t="s">
        <v>173</v>
      </c>
      <c r="E550" s="40">
        <f>E551</f>
        <v>505</v>
      </c>
      <c r="F550" s="57"/>
    </row>
    <row r="551" spans="1:6" s="1" customFormat="1" ht="31.5" customHeight="1">
      <c r="A551" s="58" t="s">
        <v>176</v>
      </c>
      <c r="B551" s="39" t="s">
        <v>147</v>
      </c>
      <c r="C551" s="47" t="s">
        <v>213</v>
      </c>
      <c r="D551" s="39" t="s">
        <v>175</v>
      </c>
      <c r="E551" s="40">
        <f>500+252-247</f>
        <v>505</v>
      </c>
      <c r="F551" s="57"/>
    </row>
    <row r="552" spans="1:6" s="1" customFormat="1" ht="30" customHeight="1">
      <c r="A552" s="58" t="s">
        <v>214</v>
      </c>
      <c r="B552" s="39" t="s">
        <v>147</v>
      </c>
      <c r="C552" s="47" t="s">
        <v>184</v>
      </c>
      <c r="D552" s="39"/>
      <c r="E552" s="40">
        <f>E553</f>
        <v>1000</v>
      </c>
      <c r="F552" s="57"/>
    </row>
    <row r="553" spans="1:6" s="1" customFormat="1" ht="20.25" customHeight="1">
      <c r="A553" s="58" t="s">
        <v>178</v>
      </c>
      <c r="B553" s="39" t="s">
        <v>147</v>
      </c>
      <c r="C553" s="47" t="s">
        <v>184</v>
      </c>
      <c r="D553" s="39" t="s">
        <v>177</v>
      </c>
      <c r="E553" s="40">
        <f>E554</f>
        <v>1000</v>
      </c>
      <c r="F553" s="40"/>
    </row>
    <row r="554" spans="1:6" s="1" customFormat="1" ht="48.75" customHeight="1">
      <c r="A554" s="42" t="s">
        <v>294</v>
      </c>
      <c r="B554" s="39" t="s">
        <v>147</v>
      </c>
      <c r="C554" s="47" t="s">
        <v>184</v>
      </c>
      <c r="D554" s="39" t="s">
        <v>48</v>
      </c>
      <c r="E554" s="40">
        <f>1000</f>
        <v>1000</v>
      </c>
      <c r="F554" s="40"/>
    </row>
    <row r="555" spans="1:6" s="1" customFormat="1" ht="63.75" customHeight="1">
      <c r="A555" s="42" t="s">
        <v>540</v>
      </c>
      <c r="B555" s="39" t="s">
        <v>147</v>
      </c>
      <c r="C555" s="47" t="s">
        <v>475</v>
      </c>
      <c r="D555" s="39"/>
      <c r="E555" s="40">
        <f>E556</f>
        <v>1499.7</v>
      </c>
      <c r="F555" s="40"/>
    </row>
    <row r="556" spans="1:6" s="1" customFormat="1" ht="33" customHeight="1">
      <c r="A556" s="42" t="s">
        <v>476</v>
      </c>
      <c r="B556" s="39" t="s">
        <v>147</v>
      </c>
      <c r="C556" s="47" t="s">
        <v>475</v>
      </c>
      <c r="D556" s="39"/>
      <c r="E556" s="40">
        <f>E557</f>
        <v>1499.7</v>
      </c>
      <c r="F556" s="40"/>
    </row>
    <row r="557" spans="1:6" s="1" customFormat="1" ht="30.75" customHeight="1">
      <c r="A557" s="60" t="s">
        <v>339</v>
      </c>
      <c r="B557" s="39" t="s">
        <v>147</v>
      </c>
      <c r="C557" s="47" t="s">
        <v>475</v>
      </c>
      <c r="D557" s="39" t="s">
        <v>338</v>
      </c>
      <c r="E557" s="40">
        <f>E558</f>
        <v>1499.7</v>
      </c>
      <c r="F557" s="40"/>
    </row>
    <row r="558" spans="1:6" s="1" customFormat="1" ht="36" customHeight="1">
      <c r="A558" s="73" t="s">
        <v>47</v>
      </c>
      <c r="B558" s="39" t="s">
        <v>147</v>
      </c>
      <c r="C558" s="47" t="s">
        <v>475</v>
      </c>
      <c r="D558" s="39" t="s">
        <v>83</v>
      </c>
      <c r="E558" s="40">
        <f>1499.7</f>
        <v>1499.7</v>
      </c>
      <c r="F558" s="40"/>
    </row>
    <row r="559" spans="1:6" s="1" customFormat="1" ht="45.75" customHeight="1">
      <c r="A559" s="58" t="s">
        <v>288</v>
      </c>
      <c r="B559" s="39" t="s">
        <v>147</v>
      </c>
      <c r="C559" s="47" t="s">
        <v>324</v>
      </c>
      <c r="D559" s="39"/>
      <c r="E559" s="40">
        <f>E560</f>
        <v>2757.9</v>
      </c>
      <c r="F559" s="40"/>
    </row>
    <row r="560" spans="1:6" s="1" customFormat="1" ht="20.25" customHeight="1">
      <c r="A560" s="58" t="s">
        <v>174</v>
      </c>
      <c r="B560" s="39" t="s">
        <v>147</v>
      </c>
      <c r="C560" s="47" t="s">
        <v>324</v>
      </c>
      <c r="D560" s="39" t="s">
        <v>173</v>
      </c>
      <c r="E560" s="40">
        <f>E561</f>
        <v>2757.9</v>
      </c>
      <c r="F560" s="40"/>
    </row>
    <row r="561" spans="1:6" s="1" customFormat="1" ht="33" customHeight="1">
      <c r="A561" s="58" t="s">
        <v>176</v>
      </c>
      <c r="B561" s="39" t="s">
        <v>147</v>
      </c>
      <c r="C561" s="47" t="s">
        <v>324</v>
      </c>
      <c r="D561" s="39" t="s">
        <v>175</v>
      </c>
      <c r="E561" s="40">
        <f>3044.5-286.6</f>
        <v>2757.9</v>
      </c>
      <c r="F561" s="40"/>
    </row>
    <row r="562" spans="1:6" s="1" customFormat="1" ht="75.75" customHeight="1">
      <c r="A562" s="46" t="s">
        <v>554</v>
      </c>
      <c r="B562" s="39" t="s">
        <v>147</v>
      </c>
      <c r="C562" s="48" t="s">
        <v>553</v>
      </c>
      <c r="D562" s="39"/>
      <c r="E562" s="40">
        <f>E563</f>
        <v>48</v>
      </c>
      <c r="F562" s="40"/>
    </row>
    <row r="563" spans="1:6" s="1" customFormat="1" ht="33" customHeight="1">
      <c r="A563" s="60" t="s">
        <v>339</v>
      </c>
      <c r="B563" s="39" t="s">
        <v>147</v>
      </c>
      <c r="C563" s="48" t="s">
        <v>553</v>
      </c>
      <c r="D563" s="39" t="s">
        <v>338</v>
      </c>
      <c r="E563" s="40">
        <f>E564</f>
        <v>48</v>
      </c>
      <c r="F563" s="40"/>
    </row>
    <row r="564" spans="1:6" s="1" customFormat="1" ht="33" customHeight="1">
      <c r="A564" s="73" t="s">
        <v>47</v>
      </c>
      <c r="B564" s="39" t="s">
        <v>147</v>
      </c>
      <c r="C564" s="48" t="s">
        <v>553</v>
      </c>
      <c r="D564" s="39" t="s">
        <v>83</v>
      </c>
      <c r="E564" s="40">
        <v>48</v>
      </c>
      <c r="F564" s="40"/>
    </row>
    <row r="565" spans="1:6" s="1" customFormat="1" ht="107.25" customHeight="1">
      <c r="A565" s="46" t="s">
        <v>551</v>
      </c>
      <c r="B565" s="39" t="s">
        <v>147</v>
      </c>
      <c r="C565" s="48" t="s">
        <v>552</v>
      </c>
      <c r="D565" s="39"/>
      <c r="E565" s="40">
        <f>E566</f>
        <v>5000</v>
      </c>
      <c r="F565" s="40"/>
    </row>
    <row r="566" spans="1:6" s="1" customFormat="1" ht="19.5" customHeight="1">
      <c r="A566" s="58" t="s">
        <v>178</v>
      </c>
      <c r="B566" s="39" t="s">
        <v>147</v>
      </c>
      <c r="C566" s="48" t="s">
        <v>552</v>
      </c>
      <c r="D566" s="39" t="s">
        <v>177</v>
      </c>
      <c r="E566" s="40">
        <f>E567</f>
        <v>5000</v>
      </c>
      <c r="F566" s="40"/>
    </row>
    <row r="567" spans="1:6" s="1" customFormat="1" ht="47.25" customHeight="1">
      <c r="A567" s="42" t="s">
        <v>294</v>
      </c>
      <c r="B567" s="39" t="s">
        <v>147</v>
      </c>
      <c r="C567" s="48" t="s">
        <v>552</v>
      </c>
      <c r="D567" s="39" t="s">
        <v>48</v>
      </c>
      <c r="E567" s="40">
        <v>5000</v>
      </c>
      <c r="F567" s="40"/>
    </row>
    <row r="568" spans="1:6" s="1" customFormat="1" ht="20.25" customHeight="1">
      <c r="A568" s="36" t="s">
        <v>245</v>
      </c>
      <c r="B568" s="39" t="s">
        <v>147</v>
      </c>
      <c r="C568" s="38" t="s">
        <v>20</v>
      </c>
      <c r="D568" s="39"/>
      <c r="E568" s="40">
        <f>E569</f>
        <v>22167.399999999998</v>
      </c>
      <c r="F568" s="40">
        <f>F569</f>
        <v>5315</v>
      </c>
    </row>
    <row r="569" spans="1:6" s="1" customFormat="1" ht="23.25" customHeight="1">
      <c r="A569" s="41" t="s">
        <v>41</v>
      </c>
      <c r="B569" s="39" t="s">
        <v>147</v>
      </c>
      <c r="C569" s="39" t="s">
        <v>21</v>
      </c>
      <c r="D569" s="39"/>
      <c r="E569" s="40">
        <f>E578+E570+E573</f>
        <v>22167.399999999998</v>
      </c>
      <c r="F569" s="40">
        <f>F578+F570+F573</f>
        <v>5315</v>
      </c>
    </row>
    <row r="570" spans="1:6" s="1" customFormat="1" ht="90" customHeight="1">
      <c r="A570" s="46" t="s">
        <v>281</v>
      </c>
      <c r="B570" s="47" t="s">
        <v>147</v>
      </c>
      <c r="C570" s="47" t="s">
        <v>428</v>
      </c>
      <c r="D570" s="47"/>
      <c r="E570" s="40">
        <f>E571</f>
        <v>3543</v>
      </c>
      <c r="F570" s="40">
        <f>F571</f>
        <v>3543</v>
      </c>
    </row>
    <row r="571" spans="1:6" s="1" customFormat="1" ht="60.75" customHeight="1">
      <c r="A571" s="46" t="s">
        <v>331</v>
      </c>
      <c r="B571" s="47" t="s">
        <v>147</v>
      </c>
      <c r="C571" s="47" t="s">
        <v>428</v>
      </c>
      <c r="D571" s="47" t="s">
        <v>179</v>
      </c>
      <c r="E571" s="40">
        <f>E572</f>
        <v>3543</v>
      </c>
      <c r="F571" s="40">
        <f>F572</f>
        <v>3543</v>
      </c>
    </row>
    <row r="572" spans="1:6" s="1" customFormat="1" ht="23.25" customHeight="1">
      <c r="A572" s="58" t="s">
        <v>172</v>
      </c>
      <c r="B572" s="47" t="s">
        <v>147</v>
      </c>
      <c r="C572" s="47" t="s">
        <v>428</v>
      </c>
      <c r="D572" s="47" t="s">
        <v>171</v>
      </c>
      <c r="E572" s="40">
        <f>3275+268</f>
        <v>3543</v>
      </c>
      <c r="F572" s="40">
        <f>E572</f>
        <v>3543</v>
      </c>
    </row>
    <row r="573" spans="1:6" s="1" customFormat="1" ht="183" customHeight="1">
      <c r="A573" s="46" t="s">
        <v>657</v>
      </c>
      <c r="B573" s="47" t="s">
        <v>147</v>
      </c>
      <c r="C573" s="47" t="s">
        <v>658</v>
      </c>
      <c r="D573" s="47"/>
      <c r="E573" s="40">
        <f>E574+E576</f>
        <v>1772</v>
      </c>
      <c r="F573" s="40">
        <f>F574+F576</f>
        <v>1772</v>
      </c>
    </row>
    <row r="574" spans="1:6" s="1" customFormat="1" ht="68.25" customHeight="1">
      <c r="A574" s="46" t="s">
        <v>331</v>
      </c>
      <c r="B574" s="47" t="s">
        <v>147</v>
      </c>
      <c r="C574" s="47" t="s">
        <v>658</v>
      </c>
      <c r="D574" s="47" t="s">
        <v>179</v>
      </c>
      <c r="E574" s="40">
        <f>E575</f>
        <v>1196.4</v>
      </c>
      <c r="F574" s="40">
        <f>F575</f>
        <v>1196.4</v>
      </c>
    </row>
    <row r="575" spans="1:6" s="1" customFormat="1" ht="23.25" customHeight="1">
      <c r="A575" s="58" t="s">
        <v>172</v>
      </c>
      <c r="B575" s="47" t="s">
        <v>147</v>
      </c>
      <c r="C575" s="47" t="s">
        <v>658</v>
      </c>
      <c r="D575" s="47" t="s">
        <v>171</v>
      </c>
      <c r="E575" s="40">
        <f>1772-297-278.6</f>
        <v>1196.4</v>
      </c>
      <c r="F575" s="40">
        <f>E575</f>
        <v>1196.4</v>
      </c>
    </row>
    <row r="576" spans="1:6" s="1" customFormat="1" ht="23.25" customHeight="1">
      <c r="A576" s="58" t="s">
        <v>174</v>
      </c>
      <c r="B576" s="47" t="s">
        <v>147</v>
      </c>
      <c r="C576" s="47" t="s">
        <v>658</v>
      </c>
      <c r="D576" s="47" t="s">
        <v>173</v>
      </c>
      <c r="E576" s="40">
        <f>E577</f>
        <v>575.6</v>
      </c>
      <c r="F576" s="40">
        <f>F577</f>
        <v>575.6</v>
      </c>
    </row>
    <row r="577" spans="1:6" s="1" customFormat="1" ht="28.5" customHeight="1">
      <c r="A577" s="58" t="s">
        <v>176</v>
      </c>
      <c r="B577" s="47" t="s">
        <v>147</v>
      </c>
      <c r="C577" s="47" t="s">
        <v>658</v>
      </c>
      <c r="D577" s="47" t="s">
        <v>175</v>
      </c>
      <c r="E577" s="40">
        <f>297+278.6</f>
        <v>575.6</v>
      </c>
      <c r="F577" s="40">
        <f>E577</f>
        <v>575.6</v>
      </c>
    </row>
    <row r="578" spans="1:6" s="1" customFormat="1" ht="21.75" customHeight="1">
      <c r="A578" s="36" t="s">
        <v>260</v>
      </c>
      <c r="B578" s="39" t="s">
        <v>147</v>
      </c>
      <c r="C578" s="39" t="s">
        <v>197</v>
      </c>
      <c r="D578" s="39"/>
      <c r="E578" s="40">
        <f>E579</f>
        <v>16852.399999999998</v>
      </c>
      <c r="F578" s="12"/>
    </row>
    <row r="579" spans="1:6" s="1" customFormat="1" ht="33" customHeight="1">
      <c r="A579" s="36" t="s">
        <v>339</v>
      </c>
      <c r="B579" s="39" t="s">
        <v>147</v>
      </c>
      <c r="C579" s="39" t="s">
        <v>197</v>
      </c>
      <c r="D579" s="39" t="s">
        <v>338</v>
      </c>
      <c r="E579" s="40">
        <f>E580</f>
        <v>16852.399999999998</v>
      </c>
      <c r="F579" s="12"/>
    </row>
    <row r="580" spans="1:6" s="1" customFormat="1" ht="23.25" customHeight="1">
      <c r="A580" s="42" t="s">
        <v>337</v>
      </c>
      <c r="B580" s="10" t="s">
        <v>147</v>
      </c>
      <c r="C580" s="39" t="s">
        <v>197</v>
      </c>
      <c r="D580" s="10" t="s">
        <v>336</v>
      </c>
      <c r="E580" s="57">
        <f>16259.5+47.6+150+33.8+361.5</f>
        <v>16852.399999999998</v>
      </c>
      <c r="F580" s="12"/>
    </row>
    <row r="581" spans="1:6" s="1" customFormat="1" ht="45.75" customHeight="1">
      <c r="A581" s="46" t="s">
        <v>10</v>
      </c>
      <c r="B581" s="48" t="s">
        <v>147</v>
      </c>
      <c r="C581" s="48" t="s">
        <v>34</v>
      </c>
      <c r="D581" s="48"/>
      <c r="E581" s="53">
        <f>E582+E589</f>
        <v>11274.999999999998</v>
      </c>
      <c r="F581" s="53"/>
    </row>
    <row r="582" spans="1:6" s="1" customFormat="1" ht="44.25" customHeight="1">
      <c r="A582" s="36" t="s">
        <v>291</v>
      </c>
      <c r="B582" s="10" t="s">
        <v>147</v>
      </c>
      <c r="C582" s="39" t="s">
        <v>200</v>
      </c>
      <c r="D582" s="10"/>
      <c r="E582" s="57">
        <f>E583+E585+E587</f>
        <v>9774.999999999998</v>
      </c>
      <c r="F582" s="57"/>
    </row>
    <row r="583" spans="1:6" s="1" customFormat="1" ht="59.25" customHeight="1">
      <c r="A583" s="56" t="s">
        <v>331</v>
      </c>
      <c r="B583" s="39" t="s">
        <v>147</v>
      </c>
      <c r="C583" s="39" t="s">
        <v>200</v>
      </c>
      <c r="D583" s="39" t="s">
        <v>179</v>
      </c>
      <c r="E583" s="50">
        <f>E584</f>
        <v>8941.9</v>
      </c>
      <c r="F583" s="40"/>
    </row>
    <row r="584" spans="1:6" s="1" customFormat="1" ht="24" customHeight="1">
      <c r="A584" s="56" t="s">
        <v>333</v>
      </c>
      <c r="B584" s="10" t="s">
        <v>147</v>
      </c>
      <c r="C584" s="39" t="s">
        <v>200</v>
      </c>
      <c r="D584" s="10" t="s">
        <v>332</v>
      </c>
      <c r="E584" s="57">
        <f>8756.4+185.5</f>
        <v>8941.9</v>
      </c>
      <c r="F584" s="57"/>
    </row>
    <row r="585" spans="1:6" s="1" customFormat="1" ht="24.75" customHeight="1">
      <c r="A585" s="58" t="s">
        <v>174</v>
      </c>
      <c r="B585" s="39" t="s">
        <v>147</v>
      </c>
      <c r="C585" s="39" t="s">
        <v>200</v>
      </c>
      <c r="D585" s="10" t="s">
        <v>173</v>
      </c>
      <c r="E585" s="57">
        <f>E586</f>
        <v>794.3</v>
      </c>
      <c r="F585" s="57"/>
    </row>
    <row r="586" spans="1:6" s="1" customFormat="1" ht="31.5" customHeight="1">
      <c r="A586" s="58" t="s">
        <v>176</v>
      </c>
      <c r="B586" s="10" t="s">
        <v>147</v>
      </c>
      <c r="C586" s="39" t="s">
        <v>200</v>
      </c>
      <c r="D586" s="10" t="s">
        <v>175</v>
      </c>
      <c r="E586" s="57">
        <f>794.3</f>
        <v>794.3</v>
      </c>
      <c r="F586" s="57"/>
    </row>
    <row r="587" spans="1:6" s="1" customFormat="1" ht="21" customHeight="1">
      <c r="A587" s="46" t="s">
        <v>178</v>
      </c>
      <c r="B587" s="10" t="s">
        <v>147</v>
      </c>
      <c r="C587" s="39" t="s">
        <v>200</v>
      </c>
      <c r="D587" s="10" t="s">
        <v>177</v>
      </c>
      <c r="E587" s="57">
        <f>E588</f>
        <v>38.8</v>
      </c>
      <c r="F587" s="57"/>
    </row>
    <row r="588" spans="1:6" s="1" customFormat="1" ht="21.75" customHeight="1">
      <c r="A588" s="58" t="s">
        <v>335</v>
      </c>
      <c r="B588" s="10" t="s">
        <v>147</v>
      </c>
      <c r="C588" s="39" t="s">
        <v>200</v>
      </c>
      <c r="D588" s="10" t="s">
        <v>334</v>
      </c>
      <c r="E588" s="57">
        <f>38.8</f>
        <v>38.8</v>
      </c>
      <c r="F588" s="57"/>
    </row>
    <row r="589" spans="1:6" s="1" customFormat="1" ht="21.75" customHeight="1">
      <c r="A589" s="42" t="s">
        <v>252</v>
      </c>
      <c r="B589" s="47" t="s">
        <v>147</v>
      </c>
      <c r="C589" s="39" t="s">
        <v>253</v>
      </c>
      <c r="D589" s="121"/>
      <c r="E589" s="57">
        <f>E590</f>
        <v>1500</v>
      </c>
      <c r="F589" s="57"/>
    </row>
    <row r="590" spans="1:6" s="1" customFormat="1" ht="21.75" customHeight="1">
      <c r="A590" s="58" t="s">
        <v>174</v>
      </c>
      <c r="B590" s="47" t="s">
        <v>147</v>
      </c>
      <c r="C590" s="39" t="s">
        <v>253</v>
      </c>
      <c r="D590" s="47" t="s">
        <v>173</v>
      </c>
      <c r="E590" s="57">
        <f>E591</f>
        <v>1500</v>
      </c>
      <c r="F590" s="57"/>
    </row>
    <row r="591" spans="1:6" s="1" customFormat="1" ht="31.5" customHeight="1">
      <c r="A591" s="58" t="s">
        <v>176</v>
      </c>
      <c r="B591" s="47" t="s">
        <v>147</v>
      </c>
      <c r="C591" s="39" t="s">
        <v>253</v>
      </c>
      <c r="D591" s="47" t="s">
        <v>175</v>
      </c>
      <c r="E591" s="57">
        <f>1500</f>
        <v>1500</v>
      </c>
      <c r="F591" s="57"/>
    </row>
    <row r="592" spans="1:6" s="1" customFormat="1" ht="45.75" customHeight="1">
      <c r="A592" s="58" t="s">
        <v>463</v>
      </c>
      <c r="B592" s="47" t="s">
        <v>147</v>
      </c>
      <c r="C592" s="47" t="s">
        <v>462</v>
      </c>
      <c r="D592" s="47"/>
      <c r="E592" s="57">
        <f>E593</f>
        <v>7100.8</v>
      </c>
      <c r="F592" s="57"/>
    </row>
    <row r="593" spans="1:6" s="1" customFormat="1" ht="45.75" customHeight="1">
      <c r="A593" s="58" t="s">
        <v>488</v>
      </c>
      <c r="B593" s="47" t="s">
        <v>147</v>
      </c>
      <c r="C593" s="47" t="s">
        <v>462</v>
      </c>
      <c r="D593" s="47"/>
      <c r="E593" s="57">
        <f>E594</f>
        <v>7100.8</v>
      </c>
      <c r="F593" s="57"/>
    </row>
    <row r="594" spans="1:6" s="1" customFormat="1" ht="31.5" customHeight="1">
      <c r="A594" s="58" t="s">
        <v>519</v>
      </c>
      <c r="B594" s="47" t="s">
        <v>147</v>
      </c>
      <c r="C594" s="47" t="s">
        <v>462</v>
      </c>
      <c r="D594" s="47"/>
      <c r="E594" s="57">
        <f>E595+E598</f>
        <v>7100.8</v>
      </c>
      <c r="F594" s="57"/>
    </row>
    <row r="595" spans="1:6" s="1" customFormat="1" ht="32.25" customHeight="1">
      <c r="A595" s="58" t="s">
        <v>529</v>
      </c>
      <c r="B595" s="47" t="s">
        <v>147</v>
      </c>
      <c r="C595" s="47" t="s">
        <v>518</v>
      </c>
      <c r="D595" s="47"/>
      <c r="E595" s="40">
        <f>E596</f>
        <v>0</v>
      </c>
      <c r="F595" s="57"/>
    </row>
    <row r="596" spans="1:6" s="1" customFormat="1" ht="23.25" customHeight="1">
      <c r="A596" s="58" t="s">
        <v>174</v>
      </c>
      <c r="B596" s="47" t="s">
        <v>147</v>
      </c>
      <c r="C596" s="47" t="s">
        <v>518</v>
      </c>
      <c r="D596" s="47" t="s">
        <v>173</v>
      </c>
      <c r="E596" s="40">
        <f>E597</f>
        <v>0</v>
      </c>
      <c r="F596" s="57"/>
    </row>
    <row r="597" spans="1:6" s="1" customFormat="1" ht="27.75" customHeight="1">
      <c r="A597" s="58" t="s">
        <v>176</v>
      </c>
      <c r="B597" s="47" t="s">
        <v>147</v>
      </c>
      <c r="C597" s="47" t="s">
        <v>518</v>
      </c>
      <c r="D597" s="47" t="s">
        <v>175</v>
      </c>
      <c r="E597" s="40">
        <f>7412.8-40-5247.2-2125.6</f>
        <v>0</v>
      </c>
      <c r="F597" s="57"/>
    </row>
    <row r="598" spans="1:6" s="1" customFormat="1" ht="30" customHeight="1">
      <c r="A598" s="46" t="s">
        <v>510</v>
      </c>
      <c r="B598" s="47" t="s">
        <v>147</v>
      </c>
      <c r="C598" s="47" t="s">
        <v>477</v>
      </c>
      <c r="D598" s="47"/>
      <c r="E598" s="40">
        <f>E599</f>
        <v>7100.8</v>
      </c>
      <c r="F598" s="57"/>
    </row>
    <row r="599" spans="1:6" s="1" customFormat="1" ht="22.5" customHeight="1">
      <c r="A599" s="58" t="s">
        <v>174</v>
      </c>
      <c r="B599" s="47" t="s">
        <v>147</v>
      </c>
      <c r="C599" s="47" t="s">
        <v>477</v>
      </c>
      <c r="D599" s="47" t="s">
        <v>173</v>
      </c>
      <c r="E599" s="40">
        <f>E600</f>
        <v>7100.8</v>
      </c>
      <c r="F599" s="57"/>
    </row>
    <row r="600" spans="1:6" s="1" customFormat="1" ht="33" customHeight="1">
      <c r="A600" s="58" t="s">
        <v>176</v>
      </c>
      <c r="B600" s="47" t="s">
        <v>147</v>
      </c>
      <c r="C600" s="47" t="s">
        <v>477</v>
      </c>
      <c r="D600" s="47" t="s">
        <v>175</v>
      </c>
      <c r="E600" s="40">
        <f>7191.2-130.4+40</f>
        <v>7100.8</v>
      </c>
      <c r="F600" s="57"/>
    </row>
    <row r="601" spans="1:8" s="5" customFormat="1" ht="20.25" customHeight="1">
      <c r="A601" s="22" t="s">
        <v>97</v>
      </c>
      <c r="B601" s="19" t="s">
        <v>91</v>
      </c>
      <c r="C601" s="19"/>
      <c r="D601" s="19"/>
      <c r="E601" s="20">
        <f>E720+E618+E680+E602</f>
        <v>424056.8</v>
      </c>
      <c r="F601" s="20">
        <f>F720+F618+F680+F602</f>
        <v>144831.80000000002</v>
      </c>
      <c r="H601" s="101"/>
    </row>
    <row r="602" spans="1:8" s="5" customFormat="1" ht="20.25" customHeight="1">
      <c r="A602" s="49" t="s">
        <v>290</v>
      </c>
      <c r="B602" s="62" t="s">
        <v>289</v>
      </c>
      <c r="C602" s="16"/>
      <c r="D602" s="16"/>
      <c r="E602" s="103">
        <f>E603+E614</f>
        <v>10350.2</v>
      </c>
      <c r="F602" s="103">
        <f>F603</f>
        <v>7154.2</v>
      </c>
      <c r="H602" s="101"/>
    </row>
    <row r="603" spans="1:8" s="5" customFormat="1" ht="33.75" customHeight="1">
      <c r="A603" s="46" t="s">
        <v>482</v>
      </c>
      <c r="B603" s="47" t="s">
        <v>289</v>
      </c>
      <c r="C603" s="10" t="s">
        <v>449</v>
      </c>
      <c r="D603" s="94"/>
      <c r="E603" s="95">
        <f>E604</f>
        <v>9050.2</v>
      </c>
      <c r="F603" s="95">
        <f>F604</f>
        <v>7154.2</v>
      </c>
      <c r="H603" s="101"/>
    </row>
    <row r="604" spans="1:8" s="5" customFormat="1" ht="60" customHeight="1">
      <c r="A604" s="46" t="s">
        <v>468</v>
      </c>
      <c r="B604" s="47" t="s">
        <v>289</v>
      </c>
      <c r="C604" s="10" t="s">
        <v>469</v>
      </c>
      <c r="D604" s="108"/>
      <c r="E604" s="95">
        <f>E609+E606+E611</f>
        <v>9050.2</v>
      </c>
      <c r="F604" s="95">
        <f>F609+F606+F611</f>
        <v>7154.2</v>
      </c>
      <c r="H604" s="101"/>
    </row>
    <row r="605" spans="1:8" s="5" customFormat="1" ht="21.75" customHeight="1">
      <c r="A605" s="46" t="s">
        <v>464</v>
      </c>
      <c r="B605" s="47" t="s">
        <v>289</v>
      </c>
      <c r="C605" s="10" t="s">
        <v>470</v>
      </c>
      <c r="D605" s="108"/>
      <c r="E605" s="109">
        <f>E606</f>
        <v>6879.2</v>
      </c>
      <c r="F605" s="109">
        <f>F606</f>
        <v>6879.2</v>
      </c>
      <c r="H605" s="101"/>
    </row>
    <row r="606" spans="1:8" s="5" customFormat="1" ht="18" customHeight="1">
      <c r="A606" s="58" t="s">
        <v>178</v>
      </c>
      <c r="B606" s="47" t="s">
        <v>289</v>
      </c>
      <c r="C606" s="10" t="s">
        <v>470</v>
      </c>
      <c r="D606" s="108" t="s">
        <v>177</v>
      </c>
      <c r="E606" s="109">
        <f>E607</f>
        <v>6879.2</v>
      </c>
      <c r="F606" s="109">
        <f>F607</f>
        <v>6879.2</v>
      </c>
      <c r="H606" s="101"/>
    </row>
    <row r="607" spans="1:8" s="5" customFormat="1" ht="44.25" customHeight="1">
      <c r="A607" s="42" t="s">
        <v>294</v>
      </c>
      <c r="B607" s="47" t="s">
        <v>289</v>
      </c>
      <c r="C607" s="10" t="s">
        <v>470</v>
      </c>
      <c r="D607" s="108" t="s">
        <v>48</v>
      </c>
      <c r="E607" s="109">
        <f>3828.9-1740.4+4790.7</f>
        <v>6879.2</v>
      </c>
      <c r="F607" s="109">
        <f>E607</f>
        <v>6879.2</v>
      </c>
      <c r="H607" s="101"/>
    </row>
    <row r="608" spans="1:8" s="5" customFormat="1" ht="32.25" customHeight="1">
      <c r="A608" s="46" t="s">
        <v>292</v>
      </c>
      <c r="B608" s="47" t="s">
        <v>289</v>
      </c>
      <c r="C608" s="10" t="s">
        <v>470</v>
      </c>
      <c r="D608" s="10"/>
      <c r="E608" s="57">
        <f>E609</f>
        <v>1815.3000000000002</v>
      </c>
      <c r="F608" s="12"/>
      <c r="H608" s="101"/>
    </row>
    <row r="609" spans="1:8" s="5" customFormat="1" ht="20.25" customHeight="1">
      <c r="A609" s="58" t="s">
        <v>178</v>
      </c>
      <c r="B609" s="47" t="s">
        <v>289</v>
      </c>
      <c r="C609" s="10" t="s">
        <v>470</v>
      </c>
      <c r="D609" s="10" t="s">
        <v>177</v>
      </c>
      <c r="E609" s="57">
        <f>E610</f>
        <v>1815.3000000000002</v>
      </c>
      <c r="F609" s="12"/>
      <c r="H609" s="101"/>
    </row>
    <row r="610" spans="1:8" s="5" customFormat="1" ht="49.5" customHeight="1">
      <c r="A610" s="42" t="s">
        <v>294</v>
      </c>
      <c r="B610" s="47" t="s">
        <v>289</v>
      </c>
      <c r="C610" s="10" t="s">
        <v>470</v>
      </c>
      <c r="D610" s="10" t="s">
        <v>48</v>
      </c>
      <c r="E610" s="57">
        <f>3060-355.7-889</f>
        <v>1815.3000000000002</v>
      </c>
      <c r="F610" s="12"/>
      <c r="H610" s="101"/>
    </row>
    <row r="611" spans="1:8" s="5" customFormat="1" ht="72.75" customHeight="1">
      <c r="A611" s="42" t="s">
        <v>776</v>
      </c>
      <c r="B611" s="47" t="s">
        <v>289</v>
      </c>
      <c r="C611" s="10" t="s">
        <v>775</v>
      </c>
      <c r="D611" s="10"/>
      <c r="E611" s="57">
        <f>E612</f>
        <v>355.7</v>
      </c>
      <c r="F611" s="57">
        <f>F612</f>
        <v>275</v>
      </c>
      <c r="H611" s="101"/>
    </row>
    <row r="612" spans="1:8" s="5" customFormat="1" ht="22.5" customHeight="1">
      <c r="A612" s="58" t="s">
        <v>178</v>
      </c>
      <c r="B612" s="47" t="s">
        <v>289</v>
      </c>
      <c r="C612" s="10" t="s">
        <v>775</v>
      </c>
      <c r="D612" s="10" t="s">
        <v>177</v>
      </c>
      <c r="E612" s="57">
        <f>E613</f>
        <v>355.7</v>
      </c>
      <c r="F612" s="57">
        <f>F613</f>
        <v>275</v>
      </c>
      <c r="H612" s="101"/>
    </row>
    <row r="613" spans="1:8" s="5" customFormat="1" ht="30" customHeight="1">
      <c r="A613" s="42" t="s">
        <v>294</v>
      </c>
      <c r="B613" s="47" t="s">
        <v>289</v>
      </c>
      <c r="C613" s="10" t="s">
        <v>775</v>
      </c>
      <c r="D613" s="10" t="s">
        <v>48</v>
      </c>
      <c r="E613" s="57">
        <f>275+80.7</f>
        <v>355.7</v>
      </c>
      <c r="F613" s="57">
        <v>275</v>
      </c>
      <c r="H613" s="101"/>
    </row>
    <row r="614" spans="1:8" s="5" customFormat="1" ht="20.25" customHeight="1">
      <c r="A614" s="80" t="s">
        <v>247</v>
      </c>
      <c r="B614" s="47" t="s">
        <v>289</v>
      </c>
      <c r="C614" s="39" t="s">
        <v>367</v>
      </c>
      <c r="D614" s="37"/>
      <c r="E614" s="40">
        <f>E615</f>
        <v>1300</v>
      </c>
      <c r="F614" s="53"/>
      <c r="H614" s="101"/>
    </row>
    <row r="615" spans="1:8" s="5" customFormat="1" ht="30.75" customHeight="1">
      <c r="A615" s="41" t="s">
        <v>708</v>
      </c>
      <c r="B615" s="47" t="s">
        <v>289</v>
      </c>
      <c r="C615" s="10" t="s">
        <v>709</v>
      </c>
      <c r="D615" s="38"/>
      <c r="E615" s="57">
        <f>E616</f>
        <v>1300</v>
      </c>
      <c r="F615" s="53"/>
      <c r="H615" s="101"/>
    </row>
    <row r="616" spans="1:8" s="5" customFormat="1" ht="19.5" customHeight="1">
      <c r="A616" s="46" t="s">
        <v>174</v>
      </c>
      <c r="B616" s="47" t="s">
        <v>289</v>
      </c>
      <c r="C616" s="10" t="s">
        <v>709</v>
      </c>
      <c r="D616" s="38" t="s">
        <v>173</v>
      </c>
      <c r="E616" s="57">
        <f>E617</f>
        <v>1300</v>
      </c>
      <c r="F616" s="53"/>
      <c r="H616" s="101"/>
    </row>
    <row r="617" spans="1:8" s="5" customFormat="1" ht="30.75" customHeight="1">
      <c r="A617" s="46" t="s">
        <v>176</v>
      </c>
      <c r="B617" s="47" t="s">
        <v>289</v>
      </c>
      <c r="C617" s="10" t="s">
        <v>709</v>
      </c>
      <c r="D617" s="48" t="s">
        <v>175</v>
      </c>
      <c r="E617" s="53">
        <v>1300</v>
      </c>
      <c r="F617" s="53"/>
      <c r="H617" s="101"/>
    </row>
    <row r="618" spans="1:6" s="5" customFormat="1" ht="16.5" customHeight="1">
      <c r="A618" s="49" t="s">
        <v>160</v>
      </c>
      <c r="B618" s="62" t="s">
        <v>161</v>
      </c>
      <c r="C618" s="62"/>
      <c r="D618" s="62"/>
      <c r="E618" s="12">
        <f>E674+E619+E666</f>
        <v>295797.3</v>
      </c>
      <c r="F618" s="12">
        <f>F674+F619+F666</f>
        <v>128047.6</v>
      </c>
    </row>
    <row r="619" spans="1:6" s="5" customFormat="1" ht="46.5" customHeight="1">
      <c r="A619" s="43" t="s">
        <v>452</v>
      </c>
      <c r="B619" s="10" t="s">
        <v>161</v>
      </c>
      <c r="C619" s="10" t="s">
        <v>185</v>
      </c>
      <c r="D619" s="10"/>
      <c r="E619" s="57">
        <f>E620+E627+E662</f>
        <v>238105.1</v>
      </c>
      <c r="F619" s="57">
        <f>F620+F627+F662</f>
        <v>92146.3</v>
      </c>
    </row>
    <row r="620" spans="1:6" s="5" customFormat="1" ht="19.5" customHeight="1">
      <c r="A620" s="68" t="s">
        <v>453</v>
      </c>
      <c r="B620" s="10" t="s">
        <v>161</v>
      </c>
      <c r="C620" s="10" t="s">
        <v>293</v>
      </c>
      <c r="D620" s="10"/>
      <c r="E620" s="57">
        <f>E621+E624</f>
        <v>10414</v>
      </c>
      <c r="F620" s="57">
        <f>F621+F624</f>
        <v>7490</v>
      </c>
    </row>
    <row r="621" spans="1:6" s="5" customFormat="1" ht="33.75" customHeight="1">
      <c r="A621" s="46" t="s">
        <v>444</v>
      </c>
      <c r="B621" s="10" t="s">
        <v>161</v>
      </c>
      <c r="C621" s="10" t="s">
        <v>740</v>
      </c>
      <c r="D621" s="10"/>
      <c r="E621" s="57">
        <f>E622</f>
        <v>7490</v>
      </c>
      <c r="F621" s="57">
        <f>F622</f>
        <v>7490</v>
      </c>
    </row>
    <row r="622" spans="1:6" s="5" customFormat="1" ht="31.5" customHeight="1">
      <c r="A622" s="46" t="s">
        <v>325</v>
      </c>
      <c r="B622" s="10" t="s">
        <v>161</v>
      </c>
      <c r="C622" s="10" t="s">
        <v>740</v>
      </c>
      <c r="D622" s="10" t="s">
        <v>392</v>
      </c>
      <c r="E622" s="57">
        <f>E623</f>
        <v>7490</v>
      </c>
      <c r="F622" s="57">
        <f>F623</f>
        <v>7490</v>
      </c>
    </row>
    <row r="623" spans="1:6" s="5" customFormat="1" ht="19.5" customHeight="1">
      <c r="A623" s="46" t="s">
        <v>393</v>
      </c>
      <c r="B623" s="10" t="s">
        <v>161</v>
      </c>
      <c r="C623" s="10" t="s">
        <v>740</v>
      </c>
      <c r="D623" s="10" t="s">
        <v>397</v>
      </c>
      <c r="E623" s="57">
        <f>4534+1413+1543</f>
        <v>7490</v>
      </c>
      <c r="F623" s="57">
        <f>E623</f>
        <v>7490</v>
      </c>
    </row>
    <row r="624" spans="1:6" s="5" customFormat="1" ht="45.75" customHeight="1">
      <c r="A624" s="46" t="s">
        <v>451</v>
      </c>
      <c r="B624" s="10" t="s">
        <v>161</v>
      </c>
      <c r="C624" s="10" t="s">
        <v>740</v>
      </c>
      <c r="D624" s="10"/>
      <c r="E624" s="57">
        <f>E625</f>
        <v>2924</v>
      </c>
      <c r="F624" s="57"/>
    </row>
    <row r="625" spans="1:6" s="5" customFormat="1" ht="33.75" customHeight="1">
      <c r="A625" s="46" t="s">
        <v>325</v>
      </c>
      <c r="B625" s="10" t="s">
        <v>161</v>
      </c>
      <c r="C625" s="10" t="s">
        <v>740</v>
      </c>
      <c r="D625" s="10" t="s">
        <v>392</v>
      </c>
      <c r="E625" s="57">
        <f>E626</f>
        <v>2924</v>
      </c>
      <c r="F625" s="57"/>
    </row>
    <row r="626" spans="1:6" s="5" customFormat="1" ht="21" customHeight="1">
      <c r="A626" s="46" t="s">
        <v>393</v>
      </c>
      <c r="B626" s="10" t="s">
        <v>161</v>
      </c>
      <c r="C626" s="10" t="s">
        <v>740</v>
      </c>
      <c r="D626" s="10" t="s">
        <v>397</v>
      </c>
      <c r="E626" s="57">
        <f>1331+1592+1</f>
        <v>2924</v>
      </c>
      <c r="F626" s="57"/>
    </row>
    <row r="627" spans="1:6" s="5" customFormat="1" ht="33.75" customHeight="1">
      <c r="A627" s="68" t="s">
        <v>454</v>
      </c>
      <c r="B627" s="10" t="s">
        <v>161</v>
      </c>
      <c r="C627" s="10" t="s">
        <v>455</v>
      </c>
      <c r="D627" s="10"/>
      <c r="E627" s="57">
        <f>E635+E641+E644+E653+E638+E647+E656+E628+E650+E659</f>
        <v>226688.80000000002</v>
      </c>
      <c r="F627" s="57">
        <f>F635+F641+F644+F653+F638+F647+F656+F628</f>
        <v>84656.3</v>
      </c>
    </row>
    <row r="628" spans="1:6" s="5" customFormat="1" ht="66" customHeight="1">
      <c r="A628" s="52" t="s">
        <v>752</v>
      </c>
      <c r="B628" s="10" t="s">
        <v>161</v>
      </c>
      <c r="C628" s="48" t="s">
        <v>751</v>
      </c>
      <c r="D628" s="10"/>
      <c r="E628" s="57">
        <f>E629+E632</f>
        <v>59900</v>
      </c>
      <c r="F628" s="57">
        <f>F629+F632</f>
        <v>59900</v>
      </c>
    </row>
    <row r="629" spans="1:6" s="5" customFormat="1" ht="93.75" customHeight="1">
      <c r="A629" s="52" t="s">
        <v>765</v>
      </c>
      <c r="B629" s="10" t="s">
        <v>161</v>
      </c>
      <c r="C629" s="48" t="s">
        <v>751</v>
      </c>
      <c r="D629" s="10"/>
      <c r="E629" s="57">
        <f>E630</f>
        <v>57900</v>
      </c>
      <c r="F629" s="57">
        <f>F630</f>
        <v>57900</v>
      </c>
    </row>
    <row r="630" spans="1:6" s="5" customFormat="1" ht="20.25" customHeight="1">
      <c r="A630" s="58" t="s">
        <v>178</v>
      </c>
      <c r="B630" s="10" t="s">
        <v>161</v>
      </c>
      <c r="C630" s="48" t="s">
        <v>751</v>
      </c>
      <c r="D630" s="48" t="s">
        <v>177</v>
      </c>
      <c r="E630" s="53">
        <f>E631</f>
        <v>57900</v>
      </c>
      <c r="F630" s="53">
        <f>F631</f>
        <v>57900</v>
      </c>
    </row>
    <row r="631" spans="1:6" s="5" customFormat="1" ht="44.25" customHeight="1">
      <c r="A631" s="42" t="s">
        <v>294</v>
      </c>
      <c r="B631" s="10" t="s">
        <v>161</v>
      </c>
      <c r="C631" s="48" t="s">
        <v>751</v>
      </c>
      <c r="D631" s="48" t="s">
        <v>48</v>
      </c>
      <c r="E631" s="53">
        <v>57900</v>
      </c>
      <c r="F631" s="57">
        <f>E631</f>
        <v>57900</v>
      </c>
    </row>
    <row r="632" spans="1:6" s="5" customFormat="1" ht="105.75" customHeight="1">
      <c r="A632" s="52" t="s">
        <v>766</v>
      </c>
      <c r="B632" s="10" t="s">
        <v>161</v>
      </c>
      <c r="C632" s="48" t="s">
        <v>751</v>
      </c>
      <c r="D632" s="10"/>
      <c r="E632" s="57">
        <f>E633</f>
        <v>2000</v>
      </c>
      <c r="F632" s="57">
        <f>F633</f>
        <v>2000</v>
      </c>
    </row>
    <row r="633" spans="1:6" s="5" customFormat="1" ht="24.75" customHeight="1">
      <c r="A633" s="58" t="s">
        <v>178</v>
      </c>
      <c r="B633" s="10" t="s">
        <v>161</v>
      </c>
      <c r="C633" s="48" t="s">
        <v>751</v>
      </c>
      <c r="D633" s="48" t="s">
        <v>177</v>
      </c>
      <c r="E633" s="53">
        <f>E634</f>
        <v>2000</v>
      </c>
      <c r="F633" s="53">
        <f>F634</f>
        <v>2000</v>
      </c>
    </row>
    <row r="634" spans="1:6" s="5" customFormat="1" ht="48.75" customHeight="1">
      <c r="A634" s="42" t="s">
        <v>294</v>
      </c>
      <c r="B634" s="10" t="s">
        <v>161</v>
      </c>
      <c r="C634" s="48" t="s">
        <v>751</v>
      </c>
      <c r="D634" s="48" t="s">
        <v>48</v>
      </c>
      <c r="E634" s="53">
        <v>2000</v>
      </c>
      <c r="F634" s="57">
        <f>E634</f>
        <v>2000</v>
      </c>
    </row>
    <row r="635" spans="1:6" s="5" customFormat="1" ht="32.25" customHeight="1">
      <c r="A635" s="46" t="s">
        <v>445</v>
      </c>
      <c r="B635" s="10" t="s">
        <v>161</v>
      </c>
      <c r="C635" s="10" t="s">
        <v>457</v>
      </c>
      <c r="D635" s="10"/>
      <c r="E635" s="57">
        <f>E636</f>
        <v>22361.300000000003</v>
      </c>
      <c r="F635" s="57">
        <f>F636</f>
        <v>22361.300000000003</v>
      </c>
    </row>
    <row r="636" spans="1:6" s="5" customFormat="1" ht="30.75" customHeight="1">
      <c r="A636" s="46" t="s">
        <v>325</v>
      </c>
      <c r="B636" s="10" t="s">
        <v>161</v>
      </c>
      <c r="C636" s="10" t="s">
        <v>457</v>
      </c>
      <c r="D636" s="10" t="s">
        <v>392</v>
      </c>
      <c r="E636" s="57">
        <f>E637</f>
        <v>22361.300000000003</v>
      </c>
      <c r="F636" s="57">
        <f>F637</f>
        <v>22361.300000000003</v>
      </c>
    </row>
    <row r="637" spans="1:6" s="5" customFormat="1" ht="111" customHeight="1">
      <c r="A637" s="42" t="s">
        <v>7</v>
      </c>
      <c r="B637" s="10" t="s">
        <v>161</v>
      </c>
      <c r="C637" s="10" t="s">
        <v>457</v>
      </c>
      <c r="D637" s="10" t="s">
        <v>6</v>
      </c>
      <c r="E637" s="57">
        <f>35255.9-12894.6</f>
        <v>22361.300000000003</v>
      </c>
      <c r="F637" s="57">
        <f>E637</f>
        <v>22361.300000000003</v>
      </c>
    </row>
    <row r="638" spans="1:6" s="5" customFormat="1" ht="74.25" customHeight="1">
      <c r="A638" s="43" t="s">
        <v>717</v>
      </c>
      <c r="B638" s="10" t="s">
        <v>161</v>
      </c>
      <c r="C638" s="10" t="s">
        <v>718</v>
      </c>
      <c r="D638" s="10"/>
      <c r="E638" s="57">
        <f>E639</f>
        <v>2395</v>
      </c>
      <c r="F638" s="57">
        <f>F639</f>
        <v>2395</v>
      </c>
    </row>
    <row r="639" spans="1:6" s="5" customFormat="1" ht="26.25" customHeight="1">
      <c r="A639" s="46" t="s">
        <v>174</v>
      </c>
      <c r="B639" s="10" t="s">
        <v>161</v>
      </c>
      <c r="C639" s="10" t="s">
        <v>718</v>
      </c>
      <c r="D639" s="10" t="s">
        <v>173</v>
      </c>
      <c r="E639" s="57">
        <f>E640</f>
        <v>2395</v>
      </c>
      <c r="F639" s="57">
        <f>F640</f>
        <v>2395</v>
      </c>
    </row>
    <row r="640" spans="1:6" s="5" customFormat="1" ht="36" customHeight="1">
      <c r="A640" s="46" t="s">
        <v>176</v>
      </c>
      <c r="B640" s="10" t="s">
        <v>161</v>
      </c>
      <c r="C640" s="10" t="s">
        <v>718</v>
      </c>
      <c r="D640" s="10" t="s">
        <v>175</v>
      </c>
      <c r="E640" s="57">
        <f>2395</f>
        <v>2395</v>
      </c>
      <c r="F640" s="57">
        <f>2395</f>
        <v>2395</v>
      </c>
    </row>
    <row r="641" spans="1:6" s="5" customFormat="1" ht="31.5" customHeight="1">
      <c r="A641" s="46" t="s">
        <v>450</v>
      </c>
      <c r="B641" s="10" t="s">
        <v>161</v>
      </c>
      <c r="C641" s="10" t="s">
        <v>457</v>
      </c>
      <c r="D641" s="10"/>
      <c r="E641" s="57">
        <f>E642</f>
        <v>7970.499999999999</v>
      </c>
      <c r="F641" s="57"/>
    </row>
    <row r="642" spans="1:6" s="5" customFormat="1" ht="33" customHeight="1">
      <c r="A642" s="46" t="s">
        <v>325</v>
      </c>
      <c r="B642" s="10" t="s">
        <v>161</v>
      </c>
      <c r="C642" s="10" t="s">
        <v>457</v>
      </c>
      <c r="D642" s="10" t="s">
        <v>392</v>
      </c>
      <c r="E642" s="57">
        <f>E643</f>
        <v>7970.499999999999</v>
      </c>
      <c r="F642" s="57"/>
    </row>
    <row r="643" spans="1:6" s="5" customFormat="1" ht="108" customHeight="1">
      <c r="A643" s="42" t="s">
        <v>7</v>
      </c>
      <c r="B643" s="10" t="s">
        <v>161</v>
      </c>
      <c r="C643" s="10" t="s">
        <v>457</v>
      </c>
      <c r="D643" s="10" t="s">
        <v>6</v>
      </c>
      <c r="E643" s="57">
        <f>13167.4-5194.6-2.3</f>
        <v>7970.499999999999</v>
      </c>
      <c r="F643" s="57"/>
    </row>
    <row r="644" spans="1:6" s="5" customFormat="1" ht="119.25" customHeight="1">
      <c r="A644" s="36" t="s">
        <v>747</v>
      </c>
      <c r="B644" s="10" t="s">
        <v>161</v>
      </c>
      <c r="C644" s="48" t="s">
        <v>467</v>
      </c>
      <c r="D644" s="10"/>
      <c r="E644" s="57">
        <f>E645</f>
        <v>69410.2</v>
      </c>
      <c r="F644" s="57"/>
    </row>
    <row r="645" spans="1:6" s="5" customFormat="1" ht="20.25" customHeight="1">
      <c r="A645" s="58" t="s">
        <v>178</v>
      </c>
      <c r="B645" s="10" t="s">
        <v>161</v>
      </c>
      <c r="C645" s="10" t="s">
        <v>467</v>
      </c>
      <c r="D645" s="10" t="s">
        <v>177</v>
      </c>
      <c r="E645" s="57">
        <f>E646</f>
        <v>69410.2</v>
      </c>
      <c r="F645" s="57"/>
    </row>
    <row r="646" spans="1:6" s="5" customFormat="1" ht="51" customHeight="1">
      <c r="A646" s="42" t="s">
        <v>479</v>
      </c>
      <c r="B646" s="10" t="s">
        <v>161</v>
      </c>
      <c r="C646" s="10" t="s">
        <v>467</v>
      </c>
      <c r="D646" s="10" t="s">
        <v>478</v>
      </c>
      <c r="E646" s="57">
        <f>49910.2+55800-1521-6600-47679+19500</f>
        <v>69410.2</v>
      </c>
      <c r="F646" s="57"/>
    </row>
    <row r="647" spans="1:6" s="5" customFormat="1" ht="105" customHeight="1">
      <c r="A647" s="36" t="s">
        <v>720</v>
      </c>
      <c r="B647" s="10" t="s">
        <v>161</v>
      </c>
      <c r="C647" s="10" t="s">
        <v>719</v>
      </c>
      <c r="D647" s="10"/>
      <c r="E647" s="57">
        <f>E648</f>
        <v>50000</v>
      </c>
      <c r="F647" s="57"/>
    </row>
    <row r="648" spans="1:6" s="5" customFormat="1" ht="24.75" customHeight="1">
      <c r="A648" s="58" t="s">
        <v>178</v>
      </c>
      <c r="B648" s="10" t="s">
        <v>161</v>
      </c>
      <c r="C648" s="10" t="s">
        <v>719</v>
      </c>
      <c r="D648" s="10" t="s">
        <v>177</v>
      </c>
      <c r="E648" s="57">
        <f>E649</f>
        <v>50000</v>
      </c>
      <c r="F648" s="57"/>
    </row>
    <row r="649" spans="1:6" s="5" customFormat="1" ht="51" customHeight="1">
      <c r="A649" s="42" t="s">
        <v>479</v>
      </c>
      <c r="B649" s="10" t="s">
        <v>161</v>
      </c>
      <c r="C649" s="10" t="s">
        <v>719</v>
      </c>
      <c r="D649" s="10" t="s">
        <v>478</v>
      </c>
      <c r="E649" s="57">
        <f>47679+2321</f>
        <v>50000</v>
      </c>
      <c r="F649" s="57"/>
    </row>
    <row r="650" spans="1:6" s="5" customFormat="1" ht="104.25" customHeight="1">
      <c r="A650" s="58" t="s">
        <v>753</v>
      </c>
      <c r="B650" s="10" t="s">
        <v>161</v>
      </c>
      <c r="C650" s="48" t="s">
        <v>754</v>
      </c>
      <c r="D650" s="10"/>
      <c r="E650" s="57">
        <f>E651</f>
        <v>5247.2</v>
      </c>
      <c r="F650" s="57"/>
    </row>
    <row r="651" spans="1:6" s="5" customFormat="1" ht="27.75" customHeight="1">
      <c r="A651" s="58" t="s">
        <v>178</v>
      </c>
      <c r="B651" s="10" t="s">
        <v>161</v>
      </c>
      <c r="C651" s="48" t="s">
        <v>754</v>
      </c>
      <c r="D651" s="48" t="s">
        <v>177</v>
      </c>
      <c r="E651" s="53">
        <f>E652</f>
        <v>5247.2</v>
      </c>
      <c r="F651" s="57"/>
    </row>
    <row r="652" spans="1:6" s="5" customFormat="1" ht="51" customHeight="1">
      <c r="A652" s="42" t="s">
        <v>294</v>
      </c>
      <c r="B652" s="10" t="s">
        <v>161</v>
      </c>
      <c r="C652" s="48" t="s">
        <v>754</v>
      </c>
      <c r="D652" s="48" t="s">
        <v>48</v>
      </c>
      <c r="E652" s="53">
        <v>5247.2</v>
      </c>
      <c r="F652" s="57"/>
    </row>
    <row r="653" spans="1:6" s="5" customFormat="1" ht="93.75" customHeight="1">
      <c r="A653" s="58" t="s">
        <v>702</v>
      </c>
      <c r="B653" s="10" t="s">
        <v>161</v>
      </c>
      <c r="C653" s="48" t="s">
        <v>701</v>
      </c>
      <c r="D653" s="48"/>
      <c r="E653" s="53">
        <f>E654</f>
        <v>5000</v>
      </c>
      <c r="F653" s="57"/>
    </row>
    <row r="654" spans="1:6" s="5" customFormat="1" ht="38.25" customHeight="1">
      <c r="A654" s="46" t="s">
        <v>325</v>
      </c>
      <c r="B654" s="10" t="s">
        <v>161</v>
      </c>
      <c r="C654" s="48" t="s">
        <v>701</v>
      </c>
      <c r="D654" s="48" t="s">
        <v>392</v>
      </c>
      <c r="E654" s="53">
        <f>E655</f>
        <v>5000</v>
      </c>
      <c r="F654" s="57"/>
    </row>
    <row r="655" spans="1:6" s="5" customFormat="1" ht="109.5" customHeight="1">
      <c r="A655" s="42" t="s">
        <v>7</v>
      </c>
      <c r="B655" s="10" t="s">
        <v>161</v>
      </c>
      <c r="C655" s="48" t="s">
        <v>701</v>
      </c>
      <c r="D655" s="48" t="s">
        <v>6</v>
      </c>
      <c r="E655" s="53">
        <f>5000</f>
        <v>5000</v>
      </c>
      <c r="F655" s="57"/>
    </row>
    <row r="656" spans="1:6" s="5" customFormat="1" ht="108" customHeight="1">
      <c r="A656" s="58" t="s">
        <v>744</v>
      </c>
      <c r="B656" s="10" t="s">
        <v>161</v>
      </c>
      <c r="C656" s="48" t="s">
        <v>741</v>
      </c>
      <c r="D656" s="48"/>
      <c r="E656" s="53">
        <f>E657</f>
        <v>3000</v>
      </c>
      <c r="F656" s="57"/>
    </row>
    <row r="657" spans="1:6" s="5" customFormat="1" ht="25.5" customHeight="1">
      <c r="A657" s="58" t="s">
        <v>178</v>
      </c>
      <c r="B657" s="10" t="s">
        <v>161</v>
      </c>
      <c r="C657" s="48" t="s">
        <v>741</v>
      </c>
      <c r="D657" s="48" t="s">
        <v>177</v>
      </c>
      <c r="E657" s="53">
        <f>E658</f>
        <v>3000</v>
      </c>
      <c r="F657" s="57"/>
    </row>
    <row r="658" spans="1:6" s="5" customFormat="1" ht="47.25" customHeight="1">
      <c r="A658" s="42" t="s">
        <v>294</v>
      </c>
      <c r="B658" s="10" t="s">
        <v>161</v>
      </c>
      <c r="C658" s="48" t="s">
        <v>741</v>
      </c>
      <c r="D658" s="48" t="s">
        <v>48</v>
      </c>
      <c r="E658" s="53">
        <v>3000</v>
      </c>
      <c r="F658" s="57"/>
    </row>
    <row r="659" spans="1:6" s="5" customFormat="1" ht="45" customHeight="1">
      <c r="A659" s="42" t="s">
        <v>769</v>
      </c>
      <c r="B659" s="10" t="s">
        <v>161</v>
      </c>
      <c r="C659" s="48" t="s">
        <v>770</v>
      </c>
      <c r="D659" s="48"/>
      <c r="E659" s="57">
        <f>E660</f>
        <v>1404.6</v>
      </c>
      <c r="F659" s="57"/>
    </row>
    <row r="660" spans="1:6" s="5" customFormat="1" ht="26.25" customHeight="1">
      <c r="A660" s="42" t="s">
        <v>174</v>
      </c>
      <c r="B660" s="10" t="s">
        <v>161</v>
      </c>
      <c r="C660" s="48" t="s">
        <v>770</v>
      </c>
      <c r="D660" s="48" t="s">
        <v>173</v>
      </c>
      <c r="E660" s="57">
        <f>E661</f>
        <v>1404.6</v>
      </c>
      <c r="F660" s="57"/>
    </row>
    <row r="661" spans="1:6" s="5" customFormat="1" ht="30.75" customHeight="1">
      <c r="A661" s="42" t="s">
        <v>176</v>
      </c>
      <c r="B661" s="10" t="s">
        <v>161</v>
      </c>
      <c r="C661" s="48" t="s">
        <v>770</v>
      </c>
      <c r="D661" s="48" t="s">
        <v>175</v>
      </c>
      <c r="E661" s="57">
        <v>1404.6</v>
      </c>
      <c r="F661" s="57"/>
    </row>
    <row r="662" spans="1:6" s="5" customFormat="1" ht="33" customHeight="1">
      <c r="A662" s="36" t="s">
        <v>456</v>
      </c>
      <c r="B662" s="10" t="s">
        <v>161</v>
      </c>
      <c r="C662" s="10" t="s">
        <v>458</v>
      </c>
      <c r="D662" s="10"/>
      <c r="E662" s="50">
        <f>E663</f>
        <v>1002.3</v>
      </c>
      <c r="F662" s="50"/>
    </row>
    <row r="663" spans="1:6" s="5" customFormat="1" ht="33.75" customHeight="1">
      <c r="A663" s="58" t="s">
        <v>530</v>
      </c>
      <c r="B663" s="10" t="s">
        <v>161</v>
      </c>
      <c r="C663" s="48" t="s">
        <v>459</v>
      </c>
      <c r="D663" s="48"/>
      <c r="E663" s="53">
        <f>E664</f>
        <v>1002.3</v>
      </c>
      <c r="F663" s="53"/>
    </row>
    <row r="664" spans="1:6" s="5" customFormat="1" ht="21.75" customHeight="1">
      <c r="A664" s="46" t="s">
        <v>174</v>
      </c>
      <c r="B664" s="10" t="s">
        <v>161</v>
      </c>
      <c r="C664" s="48" t="s">
        <v>459</v>
      </c>
      <c r="D664" s="48" t="s">
        <v>173</v>
      </c>
      <c r="E664" s="53">
        <f>E665</f>
        <v>1002.3</v>
      </c>
      <c r="F664" s="53"/>
    </row>
    <row r="665" spans="1:6" s="5" customFormat="1" ht="31.5" customHeight="1">
      <c r="A665" s="46" t="s">
        <v>176</v>
      </c>
      <c r="B665" s="10" t="s">
        <v>161</v>
      </c>
      <c r="C665" s="48" t="s">
        <v>459</v>
      </c>
      <c r="D665" s="48" t="s">
        <v>175</v>
      </c>
      <c r="E665" s="53">
        <f>2000-1000+2.3</f>
        <v>1002.3</v>
      </c>
      <c r="F665" s="53"/>
    </row>
    <row r="666" spans="1:6" s="5" customFormat="1" ht="32.25" customHeight="1">
      <c r="A666" s="46" t="s">
        <v>482</v>
      </c>
      <c r="B666" s="10" t="s">
        <v>161</v>
      </c>
      <c r="C666" s="48" t="s">
        <v>449</v>
      </c>
      <c r="D666" s="10"/>
      <c r="E666" s="57">
        <f>E667+E671</f>
        <v>46444.200000000004</v>
      </c>
      <c r="F666" s="57">
        <f>F667+F671</f>
        <v>35901.3</v>
      </c>
    </row>
    <row r="667" spans="1:6" s="5" customFormat="1" ht="20.25" customHeight="1">
      <c r="A667" s="46" t="s">
        <v>472</v>
      </c>
      <c r="B667" s="10" t="s">
        <v>161</v>
      </c>
      <c r="C667" s="47" t="s">
        <v>763</v>
      </c>
      <c r="D667" s="10"/>
      <c r="E667" s="57">
        <f aca="true" t="shared" si="4" ref="E667:F669">E668</f>
        <v>35901.3</v>
      </c>
      <c r="F667" s="57">
        <f t="shared" si="4"/>
        <v>35901.3</v>
      </c>
    </row>
    <row r="668" spans="1:6" s="5" customFormat="1" ht="22.5" customHeight="1">
      <c r="A668" s="46" t="s">
        <v>762</v>
      </c>
      <c r="B668" s="10" t="s">
        <v>161</v>
      </c>
      <c r="C668" s="47" t="s">
        <v>763</v>
      </c>
      <c r="D668" s="10"/>
      <c r="E668" s="57">
        <f t="shared" si="4"/>
        <v>35901.3</v>
      </c>
      <c r="F668" s="57">
        <f t="shared" si="4"/>
        <v>35901.3</v>
      </c>
    </row>
    <row r="669" spans="1:6" s="5" customFormat="1" ht="20.25" customHeight="1">
      <c r="A669" s="46" t="s">
        <v>174</v>
      </c>
      <c r="B669" s="10" t="s">
        <v>161</v>
      </c>
      <c r="C669" s="47" t="s">
        <v>763</v>
      </c>
      <c r="D669" s="10" t="s">
        <v>173</v>
      </c>
      <c r="E669" s="57">
        <f t="shared" si="4"/>
        <v>35901.3</v>
      </c>
      <c r="F669" s="57">
        <f t="shared" si="4"/>
        <v>35901.3</v>
      </c>
    </row>
    <row r="670" spans="1:6" s="5" customFormat="1" ht="31.5" customHeight="1">
      <c r="A670" s="46" t="s">
        <v>176</v>
      </c>
      <c r="B670" s="10" t="s">
        <v>161</v>
      </c>
      <c r="C670" s="47" t="s">
        <v>763</v>
      </c>
      <c r="D670" s="10" t="s">
        <v>175</v>
      </c>
      <c r="E670" s="57">
        <f>26403.8+9497.5</f>
        <v>35901.3</v>
      </c>
      <c r="F670" s="57">
        <f>E670</f>
        <v>35901.3</v>
      </c>
    </row>
    <row r="671" spans="1:6" s="5" customFormat="1" ht="31.5" customHeight="1">
      <c r="A671" s="46" t="s">
        <v>764</v>
      </c>
      <c r="B671" s="10" t="s">
        <v>161</v>
      </c>
      <c r="C671" s="47" t="s">
        <v>763</v>
      </c>
      <c r="D671" s="39"/>
      <c r="E671" s="40">
        <f>E672</f>
        <v>10542.9</v>
      </c>
      <c r="F671" s="40"/>
    </row>
    <row r="672" spans="1:6" s="5" customFormat="1" ht="22.5" customHeight="1">
      <c r="A672" s="46" t="s">
        <v>174</v>
      </c>
      <c r="B672" s="10" t="s">
        <v>161</v>
      </c>
      <c r="C672" s="47" t="s">
        <v>763</v>
      </c>
      <c r="D672" s="39" t="s">
        <v>173</v>
      </c>
      <c r="E672" s="40">
        <f>E673</f>
        <v>10542.9</v>
      </c>
      <c r="F672" s="40"/>
    </row>
    <row r="673" spans="1:6" s="5" customFormat="1" ht="31.5" customHeight="1">
      <c r="A673" s="46" t="s">
        <v>176</v>
      </c>
      <c r="B673" s="10" t="s">
        <v>161</v>
      </c>
      <c r="C673" s="47" t="s">
        <v>763</v>
      </c>
      <c r="D673" s="39" t="s">
        <v>175</v>
      </c>
      <c r="E673" s="40">
        <f>7753.8+2789.1</f>
        <v>10542.9</v>
      </c>
      <c r="F673" s="40">
        <v>0</v>
      </c>
    </row>
    <row r="674" spans="1:6" s="5" customFormat="1" ht="44.25" customHeight="1">
      <c r="A674" s="43" t="s">
        <v>218</v>
      </c>
      <c r="B674" s="10" t="s">
        <v>161</v>
      </c>
      <c r="C674" s="48" t="s">
        <v>186</v>
      </c>
      <c r="D674" s="10"/>
      <c r="E674" s="57">
        <f>E675</f>
        <v>11248</v>
      </c>
      <c r="F674" s="12"/>
    </row>
    <row r="675" spans="1:6" s="5" customFormat="1" ht="48.75" customHeight="1">
      <c r="A675" s="43" t="s">
        <v>327</v>
      </c>
      <c r="B675" s="10" t="s">
        <v>161</v>
      </c>
      <c r="C675" s="48" t="s">
        <v>187</v>
      </c>
      <c r="D675" s="10"/>
      <c r="E675" s="57">
        <f>E676+E678</f>
        <v>11248</v>
      </c>
      <c r="F675" s="12"/>
    </row>
    <row r="676" spans="1:6" s="5" customFormat="1" ht="18.75" customHeight="1">
      <c r="A676" s="46" t="s">
        <v>174</v>
      </c>
      <c r="B676" s="10" t="s">
        <v>161</v>
      </c>
      <c r="C676" s="48" t="s">
        <v>187</v>
      </c>
      <c r="D676" s="10" t="s">
        <v>173</v>
      </c>
      <c r="E676" s="57">
        <f>E677</f>
        <v>9936.5</v>
      </c>
      <c r="F676" s="12"/>
    </row>
    <row r="677" spans="1:6" s="5" customFormat="1" ht="33.75" customHeight="1">
      <c r="A677" s="46" t="s">
        <v>176</v>
      </c>
      <c r="B677" s="10" t="s">
        <v>161</v>
      </c>
      <c r="C677" s="48" t="s">
        <v>187</v>
      </c>
      <c r="D677" s="10" t="s">
        <v>175</v>
      </c>
      <c r="E677" s="57">
        <f>12091.4+2385+2080.8-9800+1521+1980.8+100-1311.5+889</f>
        <v>9936.5</v>
      </c>
      <c r="F677" s="12"/>
    </row>
    <row r="678" spans="1:6" s="5" customFormat="1" ht="33.75" customHeight="1">
      <c r="A678" s="60" t="s">
        <v>339</v>
      </c>
      <c r="B678" s="10" t="s">
        <v>161</v>
      </c>
      <c r="C678" s="48" t="s">
        <v>187</v>
      </c>
      <c r="D678" s="48" t="s">
        <v>338</v>
      </c>
      <c r="E678" s="50">
        <f>E679</f>
        <v>1311.5</v>
      </c>
      <c r="F678" s="57"/>
    </row>
    <row r="679" spans="1:6" s="5" customFormat="1" ht="21" customHeight="1">
      <c r="A679" s="58" t="s">
        <v>337</v>
      </c>
      <c r="B679" s="10" t="s">
        <v>161</v>
      </c>
      <c r="C679" s="48" t="s">
        <v>187</v>
      </c>
      <c r="D679" s="48" t="s">
        <v>336</v>
      </c>
      <c r="E679" s="50">
        <v>1311.5</v>
      </c>
      <c r="F679" s="57"/>
    </row>
    <row r="680" spans="1:6" s="5" customFormat="1" ht="20.25" customHeight="1">
      <c r="A680" s="61" t="s">
        <v>15</v>
      </c>
      <c r="B680" s="62" t="s">
        <v>14</v>
      </c>
      <c r="C680" s="62"/>
      <c r="D680" s="62"/>
      <c r="E680" s="12">
        <f>E695+E686+E681+E690</f>
        <v>95647.29999999999</v>
      </c>
      <c r="F680" s="12">
        <f>F695+F686+F681</f>
        <v>0</v>
      </c>
    </row>
    <row r="681" spans="1:6" s="5" customFormat="1" ht="47.25" customHeight="1">
      <c r="A681" s="43" t="s">
        <v>452</v>
      </c>
      <c r="B681" s="47" t="s">
        <v>14</v>
      </c>
      <c r="C681" s="10" t="s">
        <v>185</v>
      </c>
      <c r="D681" s="10"/>
      <c r="E681" s="57">
        <f aca="true" t="shared" si="5" ref="E681:F684">E682</f>
        <v>300</v>
      </c>
      <c r="F681" s="57">
        <f t="shared" si="5"/>
        <v>0</v>
      </c>
    </row>
    <row r="682" spans="1:6" s="5" customFormat="1" ht="20.25" customHeight="1">
      <c r="A682" s="68" t="s">
        <v>453</v>
      </c>
      <c r="B682" s="47" t="s">
        <v>14</v>
      </c>
      <c r="C682" s="10" t="s">
        <v>293</v>
      </c>
      <c r="D682" s="10"/>
      <c r="E682" s="57">
        <f t="shared" si="5"/>
        <v>300</v>
      </c>
      <c r="F682" s="57">
        <f t="shared" si="5"/>
        <v>0</v>
      </c>
    </row>
    <row r="683" spans="1:6" s="5" customFormat="1" ht="20.25" customHeight="1">
      <c r="A683" s="52" t="s">
        <v>644</v>
      </c>
      <c r="B683" s="47" t="s">
        <v>14</v>
      </c>
      <c r="C683" s="10" t="s">
        <v>645</v>
      </c>
      <c r="D683" s="10"/>
      <c r="E683" s="57">
        <f t="shared" si="5"/>
        <v>300</v>
      </c>
      <c r="F683" s="57">
        <f t="shared" si="5"/>
        <v>0</v>
      </c>
    </row>
    <row r="684" spans="1:6" s="5" customFormat="1" ht="20.25" customHeight="1">
      <c r="A684" s="46" t="s">
        <v>174</v>
      </c>
      <c r="B684" s="47" t="s">
        <v>14</v>
      </c>
      <c r="C684" s="10" t="s">
        <v>645</v>
      </c>
      <c r="D684" s="48" t="s">
        <v>173</v>
      </c>
      <c r="E684" s="53">
        <f t="shared" si="5"/>
        <v>300</v>
      </c>
      <c r="F684" s="53">
        <f t="shared" si="5"/>
        <v>0</v>
      </c>
    </row>
    <row r="685" spans="1:6" s="5" customFormat="1" ht="33" customHeight="1">
      <c r="A685" s="58" t="s">
        <v>176</v>
      </c>
      <c r="B685" s="47" t="s">
        <v>14</v>
      </c>
      <c r="C685" s="10" t="s">
        <v>645</v>
      </c>
      <c r="D685" s="47" t="s">
        <v>175</v>
      </c>
      <c r="E685" s="53">
        <f>300</f>
        <v>300</v>
      </c>
      <c r="F685" s="53"/>
    </row>
    <row r="686" spans="1:6" s="5" customFormat="1" ht="42.75" customHeight="1">
      <c r="A686" s="46" t="s">
        <v>243</v>
      </c>
      <c r="B686" s="47" t="s">
        <v>14</v>
      </c>
      <c r="C686" s="48" t="s">
        <v>182</v>
      </c>
      <c r="D686" s="48"/>
      <c r="E686" s="53">
        <f>E687</f>
        <v>1048</v>
      </c>
      <c r="F686" s="53"/>
    </row>
    <row r="687" spans="1:6" s="5" customFormat="1" ht="76.5" customHeight="1">
      <c r="A687" s="46" t="s">
        <v>556</v>
      </c>
      <c r="B687" s="47" t="s">
        <v>14</v>
      </c>
      <c r="C687" s="48" t="s">
        <v>555</v>
      </c>
      <c r="D687" s="48"/>
      <c r="E687" s="53">
        <f>E688</f>
        <v>1048</v>
      </c>
      <c r="F687" s="53"/>
    </row>
    <row r="688" spans="1:6" s="5" customFormat="1" ht="20.25" customHeight="1">
      <c r="A688" s="46" t="s">
        <v>174</v>
      </c>
      <c r="B688" s="47" t="s">
        <v>14</v>
      </c>
      <c r="C688" s="48" t="s">
        <v>555</v>
      </c>
      <c r="D688" s="48" t="s">
        <v>173</v>
      </c>
      <c r="E688" s="53">
        <f>E689</f>
        <v>1048</v>
      </c>
      <c r="F688" s="53"/>
    </row>
    <row r="689" spans="1:6" s="5" customFormat="1" ht="29.25" customHeight="1">
      <c r="A689" s="58" t="s">
        <v>176</v>
      </c>
      <c r="B689" s="47" t="s">
        <v>14</v>
      </c>
      <c r="C689" s="48" t="s">
        <v>555</v>
      </c>
      <c r="D689" s="48" t="s">
        <v>175</v>
      </c>
      <c r="E689" s="50">
        <f>48+1000</f>
        <v>1048</v>
      </c>
      <c r="F689" s="53"/>
    </row>
    <row r="690" spans="1:6" s="5" customFormat="1" ht="32.25" customHeight="1">
      <c r="A690" s="46" t="s">
        <v>482</v>
      </c>
      <c r="B690" s="47" t="s">
        <v>14</v>
      </c>
      <c r="C690" s="10" t="s">
        <v>449</v>
      </c>
      <c r="D690" s="10"/>
      <c r="E690" s="53">
        <f>E691</f>
        <v>49716.5</v>
      </c>
      <c r="F690" s="57"/>
    </row>
    <row r="691" spans="1:6" s="5" customFormat="1" ht="19.5" customHeight="1">
      <c r="A691" s="46" t="s">
        <v>472</v>
      </c>
      <c r="B691" s="47" t="s">
        <v>14</v>
      </c>
      <c r="C691" s="10" t="s">
        <v>473</v>
      </c>
      <c r="D691" s="10"/>
      <c r="E691" s="53">
        <f>E692</f>
        <v>49716.5</v>
      </c>
      <c r="F691" s="57"/>
    </row>
    <row r="692" spans="1:6" s="5" customFormat="1" ht="167.25" customHeight="1">
      <c r="A692" s="58" t="s">
        <v>704</v>
      </c>
      <c r="B692" s="47" t="s">
        <v>14</v>
      </c>
      <c r="C692" s="10" t="s">
        <v>703</v>
      </c>
      <c r="D692" s="48"/>
      <c r="E692" s="50">
        <f>E693</f>
        <v>49716.5</v>
      </c>
      <c r="F692" s="57"/>
    </row>
    <row r="693" spans="1:6" s="5" customFormat="1" ht="29.25" customHeight="1">
      <c r="A693" s="60" t="s">
        <v>339</v>
      </c>
      <c r="B693" s="47" t="s">
        <v>14</v>
      </c>
      <c r="C693" s="10" t="s">
        <v>703</v>
      </c>
      <c r="D693" s="48" t="s">
        <v>338</v>
      </c>
      <c r="E693" s="50">
        <f>E694</f>
        <v>49716.5</v>
      </c>
      <c r="F693" s="57"/>
    </row>
    <row r="694" spans="1:6" s="5" customFormat="1" ht="22.5" customHeight="1">
      <c r="A694" s="58" t="s">
        <v>337</v>
      </c>
      <c r="B694" s="47" t="s">
        <v>14</v>
      </c>
      <c r="C694" s="10" t="s">
        <v>703</v>
      </c>
      <c r="D694" s="48" t="s">
        <v>336</v>
      </c>
      <c r="E694" s="50">
        <f>49716.5</f>
        <v>49716.5</v>
      </c>
      <c r="F694" s="57"/>
    </row>
    <row r="695" spans="1:6" s="5" customFormat="1" ht="44.25" customHeight="1">
      <c r="A695" s="43" t="s">
        <v>244</v>
      </c>
      <c r="B695" s="10" t="s">
        <v>14</v>
      </c>
      <c r="C695" s="48" t="s">
        <v>188</v>
      </c>
      <c r="D695" s="10"/>
      <c r="E695" s="57">
        <f>E696+E705+E699+E712+E702</f>
        <v>44582.799999999996</v>
      </c>
      <c r="F695" s="12"/>
    </row>
    <row r="696" spans="1:6" s="5" customFormat="1" ht="17.25" customHeight="1">
      <c r="A696" s="43" t="s">
        <v>201</v>
      </c>
      <c r="B696" s="10" t="s">
        <v>14</v>
      </c>
      <c r="C696" s="48" t="s">
        <v>189</v>
      </c>
      <c r="D696" s="10"/>
      <c r="E696" s="57">
        <f>E697</f>
        <v>18565.6</v>
      </c>
      <c r="F696" s="12"/>
    </row>
    <row r="697" spans="1:6" s="5" customFormat="1" ht="20.25" customHeight="1">
      <c r="A697" s="58" t="s">
        <v>174</v>
      </c>
      <c r="B697" s="39" t="s">
        <v>14</v>
      </c>
      <c r="C697" s="48" t="s">
        <v>189</v>
      </c>
      <c r="D697" s="39" t="s">
        <v>173</v>
      </c>
      <c r="E697" s="40">
        <f>E698</f>
        <v>18565.6</v>
      </c>
      <c r="F697" s="13"/>
    </row>
    <row r="698" spans="1:6" s="5" customFormat="1" ht="33" customHeight="1">
      <c r="A698" s="46" t="s">
        <v>176</v>
      </c>
      <c r="B698" s="10" t="s">
        <v>14</v>
      </c>
      <c r="C698" s="48" t="s">
        <v>189</v>
      </c>
      <c r="D698" s="10" t="s">
        <v>175</v>
      </c>
      <c r="E698" s="57">
        <f>17183.5+1567.1-510-25+350</f>
        <v>18565.6</v>
      </c>
      <c r="F698" s="12"/>
    </row>
    <row r="699" spans="1:6" s="5" customFormat="1" ht="30" customHeight="1">
      <c r="A699" s="46" t="s">
        <v>11</v>
      </c>
      <c r="B699" s="39" t="s">
        <v>14</v>
      </c>
      <c r="C699" s="47" t="s">
        <v>314</v>
      </c>
      <c r="D699" s="10"/>
      <c r="E699" s="57">
        <f>E700</f>
        <v>175</v>
      </c>
      <c r="F699" s="13"/>
    </row>
    <row r="700" spans="1:6" s="5" customFormat="1" ht="22.5" customHeight="1">
      <c r="A700" s="46" t="s">
        <v>174</v>
      </c>
      <c r="B700" s="39" t="s">
        <v>14</v>
      </c>
      <c r="C700" s="47" t="s">
        <v>314</v>
      </c>
      <c r="D700" s="10" t="s">
        <v>173</v>
      </c>
      <c r="E700" s="57">
        <f>E701</f>
        <v>175</v>
      </c>
      <c r="F700" s="13"/>
    </row>
    <row r="701" spans="1:6" s="5" customFormat="1" ht="33" customHeight="1">
      <c r="A701" s="46" t="s">
        <v>176</v>
      </c>
      <c r="B701" s="39" t="s">
        <v>14</v>
      </c>
      <c r="C701" s="47" t="s">
        <v>314</v>
      </c>
      <c r="D701" s="10" t="s">
        <v>175</v>
      </c>
      <c r="E701" s="57">
        <f>600-425</f>
        <v>175</v>
      </c>
      <c r="F701" s="13"/>
    </row>
    <row r="702" spans="1:6" s="5" customFormat="1" ht="75.75" customHeight="1">
      <c r="A702" s="46" t="s">
        <v>723</v>
      </c>
      <c r="B702" s="39" t="s">
        <v>14</v>
      </c>
      <c r="C702" s="47" t="s">
        <v>722</v>
      </c>
      <c r="D702" s="10"/>
      <c r="E702" s="57">
        <f>E703</f>
        <v>162.6</v>
      </c>
      <c r="F702" s="13"/>
    </row>
    <row r="703" spans="1:6" s="5" customFormat="1" ht="20.25" customHeight="1">
      <c r="A703" s="46" t="s">
        <v>174</v>
      </c>
      <c r="B703" s="39" t="s">
        <v>14</v>
      </c>
      <c r="C703" s="47" t="s">
        <v>722</v>
      </c>
      <c r="D703" s="10" t="s">
        <v>173</v>
      </c>
      <c r="E703" s="57">
        <f>E704</f>
        <v>162.6</v>
      </c>
      <c r="F703" s="13"/>
    </row>
    <row r="704" spans="1:6" s="5" customFormat="1" ht="33" customHeight="1">
      <c r="A704" s="46" t="s">
        <v>176</v>
      </c>
      <c r="B704" s="39" t="s">
        <v>14</v>
      </c>
      <c r="C704" s="47" t="s">
        <v>722</v>
      </c>
      <c r="D704" s="10" t="s">
        <v>175</v>
      </c>
      <c r="E704" s="57">
        <f>143.6+19</f>
        <v>162.6</v>
      </c>
      <c r="F704" s="13"/>
    </row>
    <row r="705" spans="1:6" s="5" customFormat="1" ht="48.75" customHeight="1">
      <c r="A705" s="60" t="s">
        <v>261</v>
      </c>
      <c r="B705" s="39" t="s">
        <v>14</v>
      </c>
      <c r="C705" s="47" t="s">
        <v>219</v>
      </c>
      <c r="D705" s="39"/>
      <c r="E705" s="40">
        <f>E706+E708+E710</f>
        <v>8887.5</v>
      </c>
      <c r="F705" s="13"/>
    </row>
    <row r="706" spans="1:6" s="5" customFormat="1" ht="61.5" customHeight="1">
      <c r="A706" s="58" t="s">
        <v>331</v>
      </c>
      <c r="B706" s="39" t="s">
        <v>14</v>
      </c>
      <c r="C706" s="47" t="s">
        <v>219</v>
      </c>
      <c r="D706" s="39" t="s">
        <v>179</v>
      </c>
      <c r="E706" s="40">
        <f>E707</f>
        <v>8372.5</v>
      </c>
      <c r="F706" s="13"/>
    </row>
    <row r="707" spans="1:6" s="5" customFormat="1" ht="24.75" customHeight="1">
      <c r="A707" s="58" t="s">
        <v>333</v>
      </c>
      <c r="B707" s="39" t="s">
        <v>14</v>
      </c>
      <c r="C707" s="47" t="s">
        <v>219</v>
      </c>
      <c r="D707" s="39" t="s">
        <v>332</v>
      </c>
      <c r="E707" s="40">
        <f>7862.5+510</f>
        <v>8372.5</v>
      </c>
      <c r="F707" s="13"/>
    </row>
    <row r="708" spans="1:6" s="5" customFormat="1" ht="29.25" customHeight="1">
      <c r="A708" s="58" t="s">
        <v>174</v>
      </c>
      <c r="B708" s="39" t="s">
        <v>14</v>
      </c>
      <c r="C708" s="47" t="s">
        <v>219</v>
      </c>
      <c r="D708" s="39" t="s">
        <v>173</v>
      </c>
      <c r="E708" s="40">
        <f>E709</f>
        <v>390</v>
      </c>
      <c r="F708" s="13"/>
    </row>
    <row r="709" spans="1:6" s="5" customFormat="1" ht="33" customHeight="1">
      <c r="A709" s="58" t="s">
        <v>176</v>
      </c>
      <c r="B709" s="39" t="s">
        <v>14</v>
      </c>
      <c r="C709" s="47" t="s">
        <v>219</v>
      </c>
      <c r="D709" s="39" t="s">
        <v>175</v>
      </c>
      <c r="E709" s="40">
        <f>365+25</f>
        <v>390</v>
      </c>
      <c r="F709" s="13"/>
    </row>
    <row r="710" spans="1:6" s="5" customFormat="1" ht="21.75" customHeight="1">
      <c r="A710" s="58" t="s">
        <v>178</v>
      </c>
      <c r="B710" s="39" t="s">
        <v>14</v>
      </c>
      <c r="C710" s="47" t="s">
        <v>219</v>
      </c>
      <c r="D710" s="39" t="s">
        <v>177</v>
      </c>
      <c r="E710" s="40">
        <f>E711</f>
        <v>125</v>
      </c>
      <c r="F710" s="13"/>
    </row>
    <row r="711" spans="1:6" s="5" customFormat="1" ht="25.5" customHeight="1">
      <c r="A711" s="58" t="s">
        <v>335</v>
      </c>
      <c r="B711" s="39" t="s">
        <v>14</v>
      </c>
      <c r="C711" s="47" t="s">
        <v>219</v>
      </c>
      <c r="D711" s="39" t="s">
        <v>334</v>
      </c>
      <c r="E711" s="40">
        <f>50+75</f>
        <v>125</v>
      </c>
      <c r="F711" s="13"/>
    </row>
    <row r="712" spans="1:6" s="5" customFormat="1" ht="66.75" customHeight="1">
      <c r="A712" s="60" t="s">
        <v>543</v>
      </c>
      <c r="B712" s="39" t="s">
        <v>14</v>
      </c>
      <c r="C712" s="39" t="s">
        <v>544</v>
      </c>
      <c r="D712" s="47"/>
      <c r="E712" s="50">
        <f>E713</f>
        <v>16792.1</v>
      </c>
      <c r="F712" s="13"/>
    </row>
    <row r="713" spans="1:6" s="5" customFormat="1" ht="79.5" customHeight="1">
      <c r="A713" s="58" t="s">
        <v>546</v>
      </c>
      <c r="B713" s="39" t="s">
        <v>14</v>
      </c>
      <c r="C713" s="39" t="s">
        <v>545</v>
      </c>
      <c r="D713" s="47"/>
      <c r="E713" s="50">
        <f>E714+E716+E718</f>
        <v>16792.1</v>
      </c>
      <c r="F713" s="13"/>
    </row>
    <row r="714" spans="1:6" s="5" customFormat="1" ht="45" customHeight="1">
      <c r="A714" s="58" t="s">
        <v>331</v>
      </c>
      <c r="B714" s="39" t="s">
        <v>14</v>
      </c>
      <c r="C714" s="39" t="s">
        <v>545</v>
      </c>
      <c r="D714" s="47" t="s">
        <v>179</v>
      </c>
      <c r="E714" s="50">
        <f>E715</f>
        <v>4383.8</v>
      </c>
      <c r="F714" s="12"/>
    </row>
    <row r="715" spans="1:6" s="5" customFormat="1" ht="25.5" customHeight="1">
      <c r="A715" s="58" t="s">
        <v>333</v>
      </c>
      <c r="B715" s="39" t="s">
        <v>14</v>
      </c>
      <c r="C715" s="39" t="s">
        <v>545</v>
      </c>
      <c r="D715" s="39" t="s">
        <v>332</v>
      </c>
      <c r="E715" s="53">
        <f>4213.8+170</f>
        <v>4383.8</v>
      </c>
      <c r="F715" s="12"/>
    </row>
    <row r="716" spans="1:6" s="5" customFormat="1" ht="25.5" customHeight="1">
      <c r="A716" s="58" t="s">
        <v>174</v>
      </c>
      <c r="B716" s="39" t="s">
        <v>14</v>
      </c>
      <c r="C716" s="39" t="s">
        <v>545</v>
      </c>
      <c r="D716" s="39" t="s">
        <v>173</v>
      </c>
      <c r="E716" s="53">
        <f>E717</f>
        <v>12398.3</v>
      </c>
      <c r="F716" s="12"/>
    </row>
    <row r="717" spans="1:6" s="5" customFormat="1" ht="33" customHeight="1">
      <c r="A717" s="58" t="s">
        <v>176</v>
      </c>
      <c r="B717" s="39" t="s">
        <v>14</v>
      </c>
      <c r="C717" s="39" t="s">
        <v>545</v>
      </c>
      <c r="D717" s="39" t="s">
        <v>175</v>
      </c>
      <c r="E717" s="53">
        <f>10768.3+1800-170</f>
        <v>12398.3</v>
      </c>
      <c r="F717" s="12"/>
    </row>
    <row r="718" spans="1:6" s="5" customFormat="1" ht="25.5" customHeight="1">
      <c r="A718" s="58" t="s">
        <v>178</v>
      </c>
      <c r="B718" s="39" t="s">
        <v>14</v>
      </c>
      <c r="C718" s="39" t="s">
        <v>545</v>
      </c>
      <c r="D718" s="39" t="s">
        <v>177</v>
      </c>
      <c r="E718" s="53">
        <f>E719</f>
        <v>10</v>
      </c>
      <c r="F718" s="12"/>
    </row>
    <row r="719" spans="1:6" s="5" customFormat="1" ht="25.5" customHeight="1">
      <c r="A719" s="58" t="s">
        <v>335</v>
      </c>
      <c r="B719" s="39" t="s">
        <v>14</v>
      </c>
      <c r="C719" s="39" t="s">
        <v>545</v>
      </c>
      <c r="D719" s="39" t="s">
        <v>334</v>
      </c>
      <c r="E719" s="53">
        <v>10</v>
      </c>
      <c r="F719" s="12"/>
    </row>
    <row r="720" spans="1:6" s="1" customFormat="1" ht="31.5" customHeight="1">
      <c r="A720" s="59" t="s">
        <v>118</v>
      </c>
      <c r="B720" s="63" t="s">
        <v>148</v>
      </c>
      <c r="C720" s="63"/>
      <c r="D720" s="63"/>
      <c r="E720" s="13">
        <f>E722+E733+E728</f>
        <v>22262</v>
      </c>
      <c r="F720" s="13">
        <f>F722+F733+F728</f>
        <v>9630</v>
      </c>
    </row>
    <row r="721" spans="1:6" s="1" customFormat="1" ht="33" customHeight="1">
      <c r="A721" s="68" t="s">
        <v>454</v>
      </c>
      <c r="B721" s="10" t="s">
        <v>148</v>
      </c>
      <c r="C721" s="10" t="s">
        <v>455</v>
      </c>
      <c r="D721" s="10"/>
      <c r="E721" s="107">
        <f>E722</f>
        <v>9018</v>
      </c>
      <c r="F721" s="107">
        <f>F722</f>
        <v>9018</v>
      </c>
    </row>
    <row r="722" spans="1:6" s="1" customFormat="1" ht="64.5" customHeight="1">
      <c r="A722" s="46" t="s">
        <v>411</v>
      </c>
      <c r="B722" s="10" t="s">
        <v>148</v>
      </c>
      <c r="C722" s="10" t="s">
        <v>460</v>
      </c>
      <c r="D722" s="10"/>
      <c r="E722" s="57">
        <f>E723</f>
        <v>9018</v>
      </c>
      <c r="F722" s="57">
        <f>F723</f>
        <v>9018</v>
      </c>
    </row>
    <row r="723" spans="1:6" s="1" customFormat="1" ht="45.75" customHeight="1">
      <c r="A723" s="46" t="s">
        <v>412</v>
      </c>
      <c r="B723" s="10" t="s">
        <v>148</v>
      </c>
      <c r="C723" s="10" t="s">
        <v>460</v>
      </c>
      <c r="D723" s="10"/>
      <c r="E723" s="57">
        <f>E724+E726</f>
        <v>9018</v>
      </c>
      <c r="F723" s="57">
        <f>F724+F726</f>
        <v>9018</v>
      </c>
    </row>
    <row r="724" spans="1:6" s="1" customFormat="1" ht="58.5" customHeight="1">
      <c r="A724" s="43" t="s">
        <v>331</v>
      </c>
      <c r="B724" s="10" t="s">
        <v>148</v>
      </c>
      <c r="C724" s="10" t="s">
        <v>460</v>
      </c>
      <c r="D724" s="10" t="s">
        <v>179</v>
      </c>
      <c r="E724" s="57">
        <f>E725</f>
        <v>7769</v>
      </c>
      <c r="F724" s="57">
        <f>F725</f>
        <v>7769</v>
      </c>
    </row>
    <row r="725" spans="1:6" s="1" customFormat="1" ht="22.5" customHeight="1">
      <c r="A725" s="58" t="s">
        <v>172</v>
      </c>
      <c r="B725" s="10" t="s">
        <v>148</v>
      </c>
      <c r="C725" s="10" t="s">
        <v>460</v>
      </c>
      <c r="D725" s="10" t="s">
        <v>171</v>
      </c>
      <c r="E725" s="57">
        <f>6390+65+603+711</f>
        <v>7769</v>
      </c>
      <c r="F725" s="57">
        <f>E725</f>
        <v>7769</v>
      </c>
    </row>
    <row r="726" spans="1:6" s="1" customFormat="1" ht="20.25" customHeight="1">
      <c r="A726" s="46" t="s">
        <v>174</v>
      </c>
      <c r="B726" s="10" t="s">
        <v>148</v>
      </c>
      <c r="C726" s="10" t="s">
        <v>460</v>
      </c>
      <c r="D726" s="10" t="s">
        <v>173</v>
      </c>
      <c r="E726" s="57">
        <f>E727</f>
        <v>1249</v>
      </c>
      <c r="F726" s="57">
        <f>F727</f>
        <v>1249</v>
      </c>
    </row>
    <row r="727" spans="1:6" s="1" customFormat="1" ht="30.75" customHeight="1">
      <c r="A727" s="58" t="s">
        <v>176</v>
      </c>
      <c r="B727" s="39" t="s">
        <v>148</v>
      </c>
      <c r="C727" s="10" t="s">
        <v>460</v>
      </c>
      <c r="D727" s="39" t="s">
        <v>175</v>
      </c>
      <c r="E727" s="40">
        <f>1314-65</f>
        <v>1249</v>
      </c>
      <c r="F727" s="40">
        <f>E727</f>
        <v>1249</v>
      </c>
    </row>
    <row r="728" spans="1:6" s="1" customFormat="1" ht="33.75" customHeight="1">
      <c r="A728" s="46" t="s">
        <v>482</v>
      </c>
      <c r="B728" s="39" t="s">
        <v>148</v>
      </c>
      <c r="C728" s="10" t="s">
        <v>449</v>
      </c>
      <c r="D728" s="10"/>
      <c r="E728" s="57">
        <f aca="true" t="shared" si="6" ref="E728:F731">E729</f>
        <v>612</v>
      </c>
      <c r="F728" s="57">
        <f t="shared" si="6"/>
        <v>612</v>
      </c>
    </row>
    <row r="729" spans="1:6" s="1" customFormat="1" ht="20.25" customHeight="1">
      <c r="A729" s="46" t="s">
        <v>472</v>
      </c>
      <c r="B729" s="39" t="s">
        <v>148</v>
      </c>
      <c r="C729" s="10" t="s">
        <v>473</v>
      </c>
      <c r="D729" s="10"/>
      <c r="E729" s="57">
        <f t="shared" si="6"/>
        <v>612</v>
      </c>
      <c r="F729" s="57">
        <f t="shared" si="6"/>
        <v>612</v>
      </c>
    </row>
    <row r="730" spans="1:6" s="1" customFormat="1" ht="48" customHeight="1">
      <c r="A730" s="46" t="s">
        <v>448</v>
      </c>
      <c r="B730" s="39" t="s">
        <v>148</v>
      </c>
      <c r="C730" s="10" t="s">
        <v>474</v>
      </c>
      <c r="D730" s="10"/>
      <c r="E730" s="53">
        <f t="shared" si="6"/>
        <v>612</v>
      </c>
      <c r="F730" s="53">
        <f t="shared" si="6"/>
        <v>612</v>
      </c>
    </row>
    <row r="731" spans="1:6" s="1" customFormat="1" ht="63.75" customHeight="1">
      <c r="A731" s="43" t="s">
        <v>331</v>
      </c>
      <c r="B731" s="39" t="s">
        <v>148</v>
      </c>
      <c r="C731" s="10" t="s">
        <v>474</v>
      </c>
      <c r="D731" s="10" t="s">
        <v>179</v>
      </c>
      <c r="E731" s="53">
        <f t="shared" si="6"/>
        <v>612</v>
      </c>
      <c r="F731" s="53">
        <f t="shared" si="6"/>
        <v>612</v>
      </c>
    </row>
    <row r="732" spans="1:6" s="1" customFormat="1" ht="21.75" customHeight="1">
      <c r="A732" s="43" t="s">
        <v>333</v>
      </c>
      <c r="B732" s="39" t="s">
        <v>148</v>
      </c>
      <c r="C732" s="10" t="s">
        <v>474</v>
      </c>
      <c r="D732" s="10" t="s">
        <v>171</v>
      </c>
      <c r="E732" s="50">
        <f>540+72</f>
        <v>612</v>
      </c>
      <c r="F732" s="50">
        <f>E732</f>
        <v>612</v>
      </c>
    </row>
    <row r="733" spans="1:6" s="1" customFormat="1" ht="45" customHeight="1">
      <c r="A733" s="46" t="s">
        <v>10</v>
      </c>
      <c r="B733" s="39" t="s">
        <v>148</v>
      </c>
      <c r="C733" s="48" t="s">
        <v>34</v>
      </c>
      <c r="D733" s="48"/>
      <c r="E733" s="44">
        <f>E734</f>
        <v>12632</v>
      </c>
      <c r="F733" s="44">
        <f>F734</f>
        <v>0</v>
      </c>
    </row>
    <row r="734" spans="1:6" s="1" customFormat="1" ht="32.25" customHeight="1">
      <c r="A734" s="46" t="s">
        <v>17</v>
      </c>
      <c r="B734" s="39" t="s">
        <v>148</v>
      </c>
      <c r="C734" s="48" t="s">
        <v>194</v>
      </c>
      <c r="D734" s="48"/>
      <c r="E734" s="53">
        <f>E735</f>
        <v>12632</v>
      </c>
      <c r="F734" s="96"/>
    </row>
    <row r="735" spans="1:6" s="1" customFormat="1" ht="19.5" customHeight="1">
      <c r="A735" s="46" t="s">
        <v>174</v>
      </c>
      <c r="B735" s="39" t="s">
        <v>148</v>
      </c>
      <c r="C735" s="48" t="s">
        <v>194</v>
      </c>
      <c r="D735" s="48" t="s">
        <v>173</v>
      </c>
      <c r="E735" s="53">
        <f>E736</f>
        <v>12632</v>
      </c>
      <c r="F735" s="96"/>
    </row>
    <row r="736" spans="1:6" s="1" customFormat="1" ht="33" customHeight="1">
      <c r="A736" s="58" t="s">
        <v>176</v>
      </c>
      <c r="B736" s="39" t="s">
        <v>148</v>
      </c>
      <c r="C736" s="48" t="s">
        <v>194</v>
      </c>
      <c r="D736" s="47" t="s">
        <v>175</v>
      </c>
      <c r="E736" s="50">
        <f>13132-500</f>
        <v>12632</v>
      </c>
      <c r="F736" s="83"/>
    </row>
    <row r="737" spans="1:8" s="1" customFormat="1" ht="27.75" customHeight="1">
      <c r="A737" s="22" t="s">
        <v>119</v>
      </c>
      <c r="B737" s="19" t="s">
        <v>92</v>
      </c>
      <c r="C737" s="19"/>
      <c r="D737" s="19"/>
      <c r="E737" s="20">
        <f>E738</f>
        <v>33539.87</v>
      </c>
      <c r="F737" s="20">
        <f>F738</f>
        <v>18382.67</v>
      </c>
      <c r="H737" s="100"/>
    </row>
    <row r="738" spans="1:6" s="1" customFormat="1" ht="28.5" customHeight="1">
      <c r="A738" s="64" t="s">
        <v>137</v>
      </c>
      <c r="B738" s="63" t="s">
        <v>149</v>
      </c>
      <c r="C738" s="63"/>
      <c r="D738" s="63"/>
      <c r="E738" s="13">
        <f>E743+E739+E764</f>
        <v>33539.87</v>
      </c>
      <c r="F738" s="13">
        <f>F743+F739+F764</f>
        <v>18382.67</v>
      </c>
    </row>
    <row r="739" spans="1:6" s="1" customFormat="1" ht="75.75" customHeight="1">
      <c r="A739" s="36" t="s">
        <v>269</v>
      </c>
      <c r="B739" s="39" t="s">
        <v>149</v>
      </c>
      <c r="C739" s="39" t="s">
        <v>36</v>
      </c>
      <c r="D739" s="39"/>
      <c r="E739" s="40">
        <f>E740</f>
        <v>1307.2</v>
      </c>
      <c r="F739" s="40"/>
    </row>
    <row r="740" spans="1:6" s="1" customFormat="1" ht="75.75" customHeight="1">
      <c r="A740" s="36" t="s">
        <v>496</v>
      </c>
      <c r="B740" s="39" t="s">
        <v>149</v>
      </c>
      <c r="C740" s="39" t="s">
        <v>37</v>
      </c>
      <c r="D740" s="10"/>
      <c r="E740" s="40">
        <f>E741</f>
        <v>1307.2</v>
      </c>
      <c r="F740" s="40"/>
    </row>
    <row r="741" spans="1:6" s="1" customFormat="1" ht="18.75" customHeight="1">
      <c r="A741" s="46" t="s">
        <v>174</v>
      </c>
      <c r="B741" s="39" t="s">
        <v>149</v>
      </c>
      <c r="C741" s="39" t="s">
        <v>37</v>
      </c>
      <c r="D741" s="38" t="s">
        <v>173</v>
      </c>
      <c r="E741" s="40">
        <f>E742</f>
        <v>1307.2</v>
      </c>
      <c r="F741" s="40"/>
    </row>
    <row r="742" spans="1:6" s="1" customFormat="1" ht="33.75" customHeight="1">
      <c r="A742" s="46" t="s">
        <v>176</v>
      </c>
      <c r="B742" s="39" t="s">
        <v>149</v>
      </c>
      <c r="C742" s="39" t="s">
        <v>37</v>
      </c>
      <c r="D742" s="38" t="s">
        <v>175</v>
      </c>
      <c r="E742" s="40">
        <f>1500-192.8</f>
        <v>1307.2</v>
      </c>
      <c r="F742" s="40"/>
    </row>
    <row r="743" spans="1:6" s="1" customFormat="1" ht="45" customHeight="1">
      <c r="A743" s="52" t="s">
        <v>270</v>
      </c>
      <c r="B743" s="39" t="s">
        <v>149</v>
      </c>
      <c r="C743" s="47" t="s">
        <v>190</v>
      </c>
      <c r="D743" s="39"/>
      <c r="E743" s="40">
        <f>E744+E753+E756+E747+E750+E759</f>
        <v>22555.07</v>
      </c>
      <c r="F743" s="40">
        <f>F744+F753+F756+F747+F750</f>
        <v>8705.07</v>
      </c>
    </row>
    <row r="744" spans="1:6" s="1" customFormat="1" ht="22.5" customHeight="1">
      <c r="A744" s="52" t="s">
        <v>232</v>
      </c>
      <c r="B744" s="39" t="s">
        <v>149</v>
      </c>
      <c r="C744" s="47" t="s">
        <v>231</v>
      </c>
      <c r="D744" s="39"/>
      <c r="E744" s="40">
        <f>E745</f>
        <v>2712.0699999999997</v>
      </c>
      <c r="F744" s="40"/>
    </row>
    <row r="745" spans="1:6" s="1" customFormat="1" ht="22.5" customHeight="1">
      <c r="A745" s="46" t="s">
        <v>174</v>
      </c>
      <c r="B745" s="39" t="s">
        <v>149</v>
      </c>
      <c r="C745" s="47" t="s">
        <v>231</v>
      </c>
      <c r="D745" s="39" t="s">
        <v>173</v>
      </c>
      <c r="E745" s="40">
        <f>E746</f>
        <v>2712.0699999999997</v>
      </c>
      <c r="F745" s="40"/>
    </row>
    <row r="746" spans="1:6" s="1" customFormat="1" ht="32.25" customHeight="1">
      <c r="A746" s="46" t="s">
        <v>176</v>
      </c>
      <c r="B746" s="39" t="s">
        <v>149</v>
      </c>
      <c r="C746" s="47" t="s">
        <v>231</v>
      </c>
      <c r="D746" s="39" t="s">
        <v>175</v>
      </c>
      <c r="E746" s="40">
        <f>3000-100.3+12.37-200</f>
        <v>2712.0699999999997</v>
      </c>
      <c r="F746" s="40"/>
    </row>
    <row r="747" spans="1:6" s="1" customFormat="1" ht="32.25" customHeight="1">
      <c r="A747" s="43" t="s">
        <v>647</v>
      </c>
      <c r="B747" s="39" t="s">
        <v>149</v>
      </c>
      <c r="C747" s="48" t="s">
        <v>646</v>
      </c>
      <c r="D747" s="48"/>
      <c r="E747" s="53">
        <f>E748</f>
        <v>6150</v>
      </c>
      <c r="F747" s="40"/>
    </row>
    <row r="748" spans="1:6" s="1" customFormat="1" ht="25.5" customHeight="1">
      <c r="A748" s="58" t="s">
        <v>174</v>
      </c>
      <c r="B748" s="39" t="s">
        <v>149</v>
      </c>
      <c r="C748" s="48" t="s">
        <v>646</v>
      </c>
      <c r="D748" s="48" t="s">
        <v>173</v>
      </c>
      <c r="E748" s="50">
        <f>E749</f>
        <v>6150</v>
      </c>
      <c r="F748" s="40"/>
    </row>
    <row r="749" spans="1:6" s="1" customFormat="1" ht="32.25" customHeight="1">
      <c r="A749" s="46" t="s">
        <v>176</v>
      </c>
      <c r="B749" s="39" t="s">
        <v>149</v>
      </c>
      <c r="C749" s="48" t="s">
        <v>646</v>
      </c>
      <c r="D749" s="48" t="s">
        <v>175</v>
      </c>
      <c r="E749" s="53">
        <f>2500+2500+1150</f>
        <v>6150</v>
      </c>
      <c r="F749" s="40"/>
    </row>
    <row r="750" spans="1:6" s="1" customFormat="1" ht="35.25" customHeight="1">
      <c r="A750" s="46" t="s">
        <v>648</v>
      </c>
      <c r="B750" s="39" t="s">
        <v>149</v>
      </c>
      <c r="C750" s="48" t="s">
        <v>649</v>
      </c>
      <c r="D750" s="48"/>
      <c r="E750" s="53">
        <f>E751</f>
        <v>300</v>
      </c>
      <c r="F750" s="53"/>
    </row>
    <row r="751" spans="1:6" s="1" customFormat="1" ht="20.25" customHeight="1">
      <c r="A751" s="58" t="s">
        <v>174</v>
      </c>
      <c r="B751" s="39" t="s">
        <v>149</v>
      </c>
      <c r="C751" s="48" t="s">
        <v>649</v>
      </c>
      <c r="D751" s="48" t="s">
        <v>173</v>
      </c>
      <c r="E751" s="50">
        <f>E752</f>
        <v>300</v>
      </c>
      <c r="F751" s="53"/>
    </row>
    <row r="752" spans="1:6" s="1" customFormat="1" ht="32.25" customHeight="1">
      <c r="A752" s="46" t="s">
        <v>176</v>
      </c>
      <c r="B752" s="39" t="s">
        <v>149</v>
      </c>
      <c r="C752" s="48" t="s">
        <v>649</v>
      </c>
      <c r="D752" s="48" t="s">
        <v>175</v>
      </c>
      <c r="E752" s="53">
        <f>100+200</f>
        <v>300</v>
      </c>
      <c r="F752" s="53"/>
    </row>
    <row r="753" spans="1:6" s="1" customFormat="1" ht="33.75" customHeight="1">
      <c r="A753" s="46" t="s">
        <v>737</v>
      </c>
      <c r="B753" s="39" t="s">
        <v>149</v>
      </c>
      <c r="C753" s="47" t="s">
        <v>735</v>
      </c>
      <c r="D753" s="39"/>
      <c r="E753" s="40">
        <f>E754</f>
        <v>8705.07</v>
      </c>
      <c r="F753" s="40">
        <f>F754</f>
        <v>8705.07</v>
      </c>
    </row>
    <row r="754" spans="1:6" s="1" customFormat="1" ht="32.25" customHeight="1">
      <c r="A754" s="52" t="s">
        <v>339</v>
      </c>
      <c r="B754" s="39" t="s">
        <v>149</v>
      </c>
      <c r="C754" s="47" t="s">
        <v>735</v>
      </c>
      <c r="D754" s="39" t="s">
        <v>338</v>
      </c>
      <c r="E754" s="40">
        <f>E755</f>
        <v>8705.07</v>
      </c>
      <c r="F754" s="40">
        <f>F755</f>
        <v>8705.07</v>
      </c>
    </row>
    <row r="755" spans="1:6" s="1" customFormat="1" ht="21" customHeight="1">
      <c r="A755" s="52" t="s">
        <v>337</v>
      </c>
      <c r="B755" s="39" t="s">
        <v>149</v>
      </c>
      <c r="C755" s="47" t="s">
        <v>735</v>
      </c>
      <c r="D755" s="39" t="s">
        <v>336</v>
      </c>
      <c r="E755" s="40">
        <f>9929.7-9929.7+8705.07</f>
        <v>8705.07</v>
      </c>
      <c r="F755" s="40">
        <f>E755</f>
        <v>8705.07</v>
      </c>
    </row>
    <row r="756" spans="1:6" s="1" customFormat="1" ht="50.25" customHeight="1">
      <c r="A756" s="46" t="s">
        <v>738</v>
      </c>
      <c r="B756" s="39" t="s">
        <v>149</v>
      </c>
      <c r="C756" s="47" t="s">
        <v>735</v>
      </c>
      <c r="D756" s="39"/>
      <c r="E756" s="40">
        <f>E757</f>
        <v>87.92999999999999</v>
      </c>
      <c r="F756" s="40"/>
    </row>
    <row r="757" spans="1:6" s="1" customFormat="1" ht="32.25" customHeight="1">
      <c r="A757" s="52" t="s">
        <v>339</v>
      </c>
      <c r="B757" s="39" t="s">
        <v>149</v>
      </c>
      <c r="C757" s="47" t="s">
        <v>735</v>
      </c>
      <c r="D757" s="39" t="s">
        <v>338</v>
      </c>
      <c r="E757" s="40">
        <f>E758</f>
        <v>87.92999999999999</v>
      </c>
      <c r="F757" s="40"/>
    </row>
    <row r="758" spans="1:6" s="1" customFormat="1" ht="19.5" customHeight="1">
      <c r="A758" s="52" t="s">
        <v>337</v>
      </c>
      <c r="B758" s="39" t="s">
        <v>149</v>
      </c>
      <c r="C758" s="47" t="s">
        <v>735</v>
      </c>
      <c r="D758" s="39" t="s">
        <v>336</v>
      </c>
      <c r="E758" s="40">
        <f>100.3-12.37</f>
        <v>87.92999999999999</v>
      </c>
      <c r="F758" s="40">
        <v>0</v>
      </c>
    </row>
    <row r="759" spans="1:6" s="1" customFormat="1" ht="33.75" customHeight="1">
      <c r="A759" s="46" t="s">
        <v>739</v>
      </c>
      <c r="B759" s="39" t="s">
        <v>149</v>
      </c>
      <c r="C759" s="47" t="s">
        <v>736</v>
      </c>
      <c r="D759" s="39"/>
      <c r="E759" s="40">
        <f>E762+E760</f>
        <v>4600</v>
      </c>
      <c r="F759" s="40"/>
    </row>
    <row r="760" spans="1:6" s="1" customFormat="1" ht="24" customHeight="1">
      <c r="A760" s="46" t="s">
        <v>174</v>
      </c>
      <c r="B760" s="39" t="s">
        <v>149</v>
      </c>
      <c r="C760" s="47" t="s">
        <v>736</v>
      </c>
      <c r="D760" s="39" t="s">
        <v>173</v>
      </c>
      <c r="E760" s="40">
        <f>E761</f>
        <v>250</v>
      </c>
      <c r="F760" s="40"/>
    </row>
    <row r="761" spans="1:6" s="1" customFormat="1" ht="33.75" customHeight="1">
      <c r="A761" s="46" t="s">
        <v>176</v>
      </c>
      <c r="B761" s="39" t="s">
        <v>149</v>
      </c>
      <c r="C761" s="47" t="s">
        <v>736</v>
      </c>
      <c r="D761" s="39" t="s">
        <v>175</v>
      </c>
      <c r="E761" s="40">
        <v>250</v>
      </c>
      <c r="F761" s="40">
        <v>0</v>
      </c>
    </row>
    <row r="762" spans="1:6" s="1" customFormat="1" ht="32.25" customHeight="1">
      <c r="A762" s="52" t="s">
        <v>339</v>
      </c>
      <c r="B762" s="39" t="s">
        <v>149</v>
      </c>
      <c r="C762" s="47" t="s">
        <v>736</v>
      </c>
      <c r="D762" s="39" t="s">
        <v>338</v>
      </c>
      <c r="E762" s="40">
        <f>E763</f>
        <v>4350</v>
      </c>
      <c r="F762" s="40"/>
    </row>
    <row r="763" spans="1:6" s="1" customFormat="1" ht="19.5" customHeight="1">
      <c r="A763" s="52" t="s">
        <v>337</v>
      </c>
      <c r="B763" s="39" t="s">
        <v>149</v>
      </c>
      <c r="C763" s="47" t="s">
        <v>736</v>
      </c>
      <c r="D763" s="39" t="s">
        <v>336</v>
      </c>
      <c r="E763" s="40">
        <f>6600-2000-250</f>
        <v>4350</v>
      </c>
      <c r="F763" s="40">
        <v>0</v>
      </c>
    </row>
    <row r="764" spans="1:6" s="1" customFormat="1" ht="31.5" customHeight="1">
      <c r="A764" s="46" t="s">
        <v>482</v>
      </c>
      <c r="B764" s="39" t="s">
        <v>149</v>
      </c>
      <c r="C764" s="10" t="s">
        <v>449</v>
      </c>
      <c r="D764" s="39"/>
      <c r="E764" s="40">
        <f aca="true" t="shared" si="7" ref="E764:F767">E765</f>
        <v>9677.6</v>
      </c>
      <c r="F764" s="40">
        <f t="shared" si="7"/>
        <v>9677.6</v>
      </c>
    </row>
    <row r="765" spans="1:6" s="1" customFormat="1" ht="19.5" customHeight="1">
      <c r="A765" s="46" t="s">
        <v>472</v>
      </c>
      <c r="B765" s="39" t="s">
        <v>149</v>
      </c>
      <c r="C765" s="10" t="s">
        <v>473</v>
      </c>
      <c r="D765" s="39"/>
      <c r="E765" s="40">
        <f>E766</f>
        <v>9677.6</v>
      </c>
      <c r="F765" s="40">
        <f t="shared" si="7"/>
        <v>9677.6</v>
      </c>
    </row>
    <row r="766" spans="1:6" s="1" customFormat="1" ht="31.5" customHeight="1">
      <c r="A766" s="43" t="s">
        <v>659</v>
      </c>
      <c r="B766" s="39" t="s">
        <v>149</v>
      </c>
      <c r="C766" s="39" t="s">
        <v>660</v>
      </c>
      <c r="D766" s="39"/>
      <c r="E766" s="40">
        <f t="shared" si="7"/>
        <v>9677.6</v>
      </c>
      <c r="F766" s="40">
        <f t="shared" si="7"/>
        <v>9677.6</v>
      </c>
    </row>
    <row r="767" spans="1:6" s="1" customFormat="1" ht="19.5" customHeight="1">
      <c r="A767" s="58" t="s">
        <v>178</v>
      </c>
      <c r="B767" s="39" t="s">
        <v>149</v>
      </c>
      <c r="C767" s="39" t="s">
        <v>660</v>
      </c>
      <c r="D767" s="39" t="s">
        <v>177</v>
      </c>
      <c r="E767" s="40">
        <f t="shared" si="7"/>
        <v>9677.6</v>
      </c>
      <c r="F767" s="40">
        <f t="shared" si="7"/>
        <v>9677.6</v>
      </c>
    </row>
    <row r="768" spans="1:6" s="1" customFormat="1" ht="48" customHeight="1">
      <c r="A768" s="42" t="s">
        <v>294</v>
      </c>
      <c r="B768" s="39" t="s">
        <v>149</v>
      </c>
      <c r="C768" s="39" t="s">
        <v>660</v>
      </c>
      <c r="D768" s="39" t="s">
        <v>48</v>
      </c>
      <c r="E768" s="40">
        <v>9677.6</v>
      </c>
      <c r="F768" s="40">
        <f>E768</f>
        <v>9677.6</v>
      </c>
    </row>
    <row r="769" spans="1:9" s="1" customFormat="1" ht="22.5" customHeight="1">
      <c r="A769" s="21" t="s">
        <v>98</v>
      </c>
      <c r="B769" s="19" t="s">
        <v>93</v>
      </c>
      <c r="C769" s="19"/>
      <c r="D769" s="19"/>
      <c r="E769" s="20">
        <f>E770+E809+E957+E969+E953+E911</f>
        <v>5616910.399999999</v>
      </c>
      <c r="F769" s="20">
        <f>F770+F809+F957+F969+F953+F911</f>
        <v>3757802.9</v>
      </c>
      <c r="H769" s="100"/>
      <c r="I769" s="100"/>
    </row>
    <row r="770" spans="1:8" s="1" customFormat="1" ht="20.25" customHeight="1">
      <c r="A770" s="49" t="s">
        <v>99</v>
      </c>
      <c r="B770" s="65" t="s">
        <v>94</v>
      </c>
      <c r="C770" s="65"/>
      <c r="D770" s="65"/>
      <c r="E770" s="11">
        <f>E771+E802</f>
        <v>1686955.7</v>
      </c>
      <c r="F770" s="11">
        <f>F771+F802</f>
        <v>1082596</v>
      </c>
      <c r="H770" s="100"/>
    </row>
    <row r="771" spans="1:8" s="1" customFormat="1" ht="44.25" customHeight="1">
      <c r="A771" s="52" t="s">
        <v>271</v>
      </c>
      <c r="B771" s="37" t="s">
        <v>94</v>
      </c>
      <c r="C771" s="10" t="s">
        <v>135</v>
      </c>
      <c r="D771" s="37"/>
      <c r="E771" s="66">
        <f>E772</f>
        <v>1678431.8</v>
      </c>
      <c r="F771" s="66">
        <f>F772</f>
        <v>1074847</v>
      </c>
      <c r="H771" s="100"/>
    </row>
    <row r="772" spans="1:6" s="1" customFormat="1" ht="20.25" customHeight="1">
      <c r="A772" s="60" t="s">
        <v>284</v>
      </c>
      <c r="B772" s="37" t="s">
        <v>94</v>
      </c>
      <c r="C772" s="39" t="s">
        <v>136</v>
      </c>
      <c r="D772" s="37"/>
      <c r="E772" s="66">
        <f>E779+E785+E773+E782+E776</f>
        <v>1678431.8</v>
      </c>
      <c r="F772" s="66">
        <f>F779+F785+F773+F782+F776</f>
        <v>1074847</v>
      </c>
    </row>
    <row r="773" spans="1:6" s="1" customFormat="1" ht="47.25" customHeight="1">
      <c r="A773" s="51" t="s">
        <v>636</v>
      </c>
      <c r="B773" s="37" t="s">
        <v>94</v>
      </c>
      <c r="C773" s="39" t="s">
        <v>663</v>
      </c>
      <c r="D773" s="37"/>
      <c r="E773" s="44">
        <f>E774</f>
        <v>3585</v>
      </c>
      <c r="F773" s="44">
        <f>F774</f>
        <v>3585</v>
      </c>
    </row>
    <row r="774" spans="1:6" s="1" customFormat="1" ht="30.75" customHeight="1">
      <c r="A774" s="60" t="s">
        <v>339</v>
      </c>
      <c r="B774" s="37" t="s">
        <v>94</v>
      </c>
      <c r="C774" s="39" t="s">
        <v>663</v>
      </c>
      <c r="D774" s="37" t="s">
        <v>338</v>
      </c>
      <c r="E774" s="44">
        <f>E775</f>
        <v>3585</v>
      </c>
      <c r="F774" s="44">
        <f>F775</f>
        <v>3585</v>
      </c>
    </row>
    <row r="775" spans="1:6" s="1" customFormat="1" ht="20.25" customHeight="1">
      <c r="A775" s="60" t="s">
        <v>337</v>
      </c>
      <c r="B775" s="37" t="s">
        <v>94</v>
      </c>
      <c r="C775" s="39" t="s">
        <v>663</v>
      </c>
      <c r="D775" s="37" t="s">
        <v>336</v>
      </c>
      <c r="E775" s="44">
        <f>3485+100</f>
        <v>3585</v>
      </c>
      <c r="F775" s="44">
        <f>E775</f>
        <v>3585</v>
      </c>
    </row>
    <row r="776" spans="1:6" s="1" customFormat="1" ht="24.75" customHeight="1">
      <c r="A776" s="51" t="s">
        <v>777</v>
      </c>
      <c r="B776" s="37" t="s">
        <v>94</v>
      </c>
      <c r="C776" s="39" t="s">
        <v>756</v>
      </c>
      <c r="D776" s="37"/>
      <c r="E776" s="44">
        <f>E777</f>
        <v>17940</v>
      </c>
      <c r="F776" s="44">
        <f>F777</f>
        <v>17940</v>
      </c>
    </row>
    <row r="777" spans="1:6" s="1" customFormat="1" ht="30.75" customHeight="1">
      <c r="A777" s="60" t="s">
        <v>339</v>
      </c>
      <c r="B777" s="37" t="s">
        <v>94</v>
      </c>
      <c r="C777" s="39" t="s">
        <v>756</v>
      </c>
      <c r="D777" s="37" t="s">
        <v>338</v>
      </c>
      <c r="E777" s="44">
        <f>E778</f>
        <v>17940</v>
      </c>
      <c r="F777" s="44">
        <f>F778</f>
        <v>17940</v>
      </c>
    </row>
    <row r="778" spans="1:6" s="1" customFormat="1" ht="20.25" customHeight="1">
      <c r="A778" s="60" t="s">
        <v>337</v>
      </c>
      <c r="B778" s="37" t="s">
        <v>94</v>
      </c>
      <c r="C778" s="39" t="s">
        <v>756</v>
      </c>
      <c r="D778" s="37" t="s">
        <v>336</v>
      </c>
      <c r="E778" s="44">
        <v>17940</v>
      </c>
      <c r="F778" s="44">
        <f>E778</f>
        <v>17940</v>
      </c>
    </row>
    <row r="779" spans="1:6" s="1" customFormat="1" ht="122.25" customHeight="1">
      <c r="A779" s="52" t="s">
        <v>279</v>
      </c>
      <c r="B779" s="37" t="s">
        <v>94</v>
      </c>
      <c r="C779" s="10" t="s">
        <v>430</v>
      </c>
      <c r="D779" s="37"/>
      <c r="E779" s="44">
        <f>E781</f>
        <v>1052822</v>
      </c>
      <c r="F779" s="44">
        <f>F781</f>
        <v>1052822</v>
      </c>
    </row>
    <row r="780" spans="1:6" s="1" customFormat="1" ht="33" customHeight="1">
      <c r="A780" s="52" t="s">
        <v>339</v>
      </c>
      <c r="B780" s="37" t="s">
        <v>94</v>
      </c>
      <c r="C780" s="10" t="s">
        <v>430</v>
      </c>
      <c r="D780" s="37" t="s">
        <v>338</v>
      </c>
      <c r="E780" s="44">
        <f>E781</f>
        <v>1052822</v>
      </c>
      <c r="F780" s="44">
        <f>F781</f>
        <v>1052822</v>
      </c>
    </row>
    <row r="781" spans="1:6" s="1" customFormat="1" ht="22.5" customHeight="1">
      <c r="A781" s="52" t="s">
        <v>337</v>
      </c>
      <c r="B781" s="37" t="s">
        <v>94</v>
      </c>
      <c r="C781" s="10" t="s">
        <v>430</v>
      </c>
      <c r="D781" s="37" t="s">
        <v>336</v>
      </c>
      <c r="E781" s="44">
        <f>1049676+3146</f>
        <v>1052822</v>
      </c>
      <c r="F781" s="44">
        <f>E781</f>
        <v>1052822</v>
      </c>
    </row>
    <row r="782" spans="1:6" s="1" customFormat="1" ht="76.5" customHeight="1">
      <c r="A782" s="43" t="s">
        <v>706</v>
      </c>
      <c r="B782" s="37" t="s">
        <v>94</v>
      </c>
      <c r="C782" s="39" t="s">
        <v>667</v>
      </c>
      <c r="D782" s="37"/>
      <c r="E782" s="44">
        <f>E783</f>
        <v>500</v>
      </c>
      <c r="F782" s="44">
        <f>F783</f>
        <v>500</v>
      </c>
    </row>
    <row r="783" spans="1:6" s="1" customFormat="1" ht="29.25" customHeight="1">
      <c r="A783" s="60" t="s">
        <v>339</v>
      </c>
      <c r="B783" s="37" t="s">
        <v>94</v>
      </c>
      <c r="C783" s="39" t="s">
        <v>667</v>
      </c>
      <c r="D783" s="37" t="s">
        <v>338</v>
      </c>
      <c r="E783" s="44">
        <f>E784</f>
        <v>500</v>
      </c>
      <c r="F783" s="44">
        <f>F784</f>
        <v>500</v>
      </c>
    </row>
    <row r="784" spans="1:6" s="1" customFormat="1" ht="22.5" customHeight="1">
      <c r="A784" s="42" t="s">
        <v>337</v>
      </c>
      <c r="B784" s="37" t="s">
        <v>94</v>
      </c>
      <c r="C784" s="39" t="s">
        <v>667</v>
      </c>
      <c r="D784" s="37" t="s">
        <v>336</v>
      </c>
      <c r="E784" s="44">
        <f>500</f>
        <v>500</v>
      </c>
      <c r="F784" s="44">
        <f>E784</f>
        <v>500</v>
      </c>
    </row>
    <row r="785" spans="1:6" s="1" customFormat="1" ht="32.25" customHeight="1">
      <c r="A785" s="52" t="s">
        <v>246</v>
      </c>
      <c r="B785" s="37" t="s">
        <v>94</v>
      </c>
      <c r="C785" s="10" t="s">
        <v>135</v>
      </c>
      <c r="D785" s="37"/>
      <c r="E785" s="44">
        <f>E786</f>
        <v>603584.8</v>
      </c>
      <c r="F785" s="44"/>
    </row>
    <row r="786" spans="1:6" s="1" customFormat="1" ht="21" customHeight="1">
      <c r="A786" s="60" t="s">
        <v>284</v>
      </c>
      <c r="B786" s="37" t="s">
        <v>94</v>
      </c>
      <c r="C786" s="10" t="s">
        <v>136</v>
      </c>
      <c r="D786" s="37"/>
      <c r="E786" s="44">
        <f>E787+E793+E790+E796+E799</f>
        <v>603584.8</v>
      </c>
      <c r="F786" s="44"/>
    </row>
    <row r="787" spans="1:6" s="1" customFormat="1" ht="25.5" customHeight="1">
      <c r="A787" s="43" t="s">
        <v>117</v>
      </c>
      <c r="B787" s="37" t="s">
        <v>94</v>
      </c>
      <c r="C787" s="10" t="s">
        <v>351</v>
      </c>
      <c r="D787" s="37"/>
      <c r="E787" s="44">
        <f>E788</f>
        <v>481850.7</v>
      </c>
      <c r="F787" s="44"/>
    </row>
    <row r="788" spans="1:6" s="1" customFormat="1" ht="33.75" customHeight="1">
      <c r="A788" s="36" t="s">
        <v>339</v>
      </c>
      <c r="B788" s="37" t="s">
        <v>94</v>
      </c>
      <c r="C788" s="10" t="s">
        <v>351</v>
      </c>
      <c r="D788" s="37" t="s">
        <v>338</v>
      </c>
      <c r="E788" s="44">
        <f>E789</f>
        <v>481850.7</v>
      </c>
      <c r="F788" s="44"/>
    </row>
    <row r="789" spans="1:6" s="1" customFormat="1" ht="20.25" customHeight="1">
      <c r="A789" s="43" t="s">
        <v>337</v>
      </c>
      <c r="B789" s="37" t="s">
        <v>94</v>
      </c>
      <c r="C789" s="10" t="s">
        <v>351</v>
      </c>
      <c r="D789" s="37" t="s">
        <v>336</v>
      </c>
      <c r="E789" s="44">
        <f>425723.3+876-791.6+55000+1287+22400+673.5-3317.5+17940-20000-17940</f>
        <v>481850.7</v>
      </c>
      <c r="F789" s="44"/>
    </row>
    <row r="790" spans="1:6" s="1" customFormat="1" ht="20.25" customHeight="1">
      <c r="A790" s="43" t="s">
        <v>398</v>
      </c>
      <c r="B790" s="37" t="s">
        <v>94</v>
      </c>
      <c r="C790" s="10" t="s">
        <v>352</v>
      </c>
      <c r="D790" s="37"/>
      <c r="E790" s="44">
        <f>E791</f>
        <v>205.8</v>
      </c>
      <c r="F790" s="44"/>
    </row>
    <row r="791" spans="1:6" s="1" customFormat="1" ht="29.25" customHeight="1">
      <c r="A791" s="60" t="s">
        <v>339</v>
      </c>
      <c r="B791" s="37" t="s">
        <v>94</v>
      </c>
      <c r="C791" s="39" t="s">
        <v>352</v>
      </c>
      <c r="D791" s="37" t="s">
        <v>338</v>
      </c>
      <c r="E791" s="44">
        <f>E792</f>
        <v>205.8</v>
      </c>
      <c r="F791" s="44"/>
    </row>
    <row r="792" spans="1:6" s="1" customFormat="1" ht="20.25" customHeight="1">
      <c r="A792" s="43" t="s">
        <v>337</v>
      </c>
      <c r="B792" s="37" t="s">
        <v>94</v>
      </c>
      <c r="C792" s="39" t="s">
        <v>352</v>
      </c>
      <c r="D792" s="37" t="s">
        <v>336</v>
      </c>
      <c r="E792" s="44">
        <f>375.8-50-120</f>
        <v>205.8</v>
      </c>
      <c r="F792" s="44"/>
    </row>
    <row r="793" spans="1:6" s="1" customFormat="1" ht="19.5" customHeight="1">
      <c r="A793" s="43" t="s">
        <v>394</v>
      </c>
      <c r="B793" s="37" t="s">
        <v>94</v>
      </c>
      <c r="C793" s="10" t="s">
        <v>353</v>
      </c>
      <c r="D793" s="37"/>
      <c r="E793" s="44">
        <f>E794</f>
        <v>103686.7</v>
      </c>
      <c r="F793" s="44"/>
    </row>
    <row r="794" spans="1:6" s="1" customFormat="1" ht="33.75" customHeight="1">
      <c r="A794" s="36" t="s">
        <v>339</v>
      </c>
      <c r="B794" s="37" t="s">
        <v>94</v>
      </c>
      <c r="C794" s="10" t="s">
        <v>353</v>
      </c>
      <c r="D794" s="37" t="s">
        <v>338</v>
      </c>
      <c r="E794" s="44">
        <f>E795</f>
        <v>103686.7</v>
      </c>
      <c r="F794" s="44"/>
    </row>
    <row r="795" spans="1:6" s="1" customFormat="1" ht="21.75" customHeight="1">
      <c r="A795" s="43" t="s">
        <v>337</v>
      </c>
      <c r="B795" s="37" t="s">
        <v>94</v>
      </c>
      <c r="C795" s="10" t="s">
        <v>353</v>
      </c>
      <c r="D795" s="37" t="s">
        <v>336</v>
      </c>
      <c r="E795" s="44">
        <f>131780-5000+2000+211.7-15000-1700-6275-1821.5+120-628.5</f>
        <v>103686.7</v>
      </c>
      <c r="F795" s="44"/>
    </row>
    <row r="796" spans="1:6" s="1" customFormat="1" ht="30" customHeight="1">
      <c r="A796" s="43" t="s">
        <v>495</v>
      </c>
      <c r="B796" s="37" t="s">
        <v>94</v>
      </c>
      <c r="C796" s="10" t="s">
        <v>494</v>
      </c>
      <c r="D796" s="37"/>
      <c r="E796" s="44">
        <f>E797</f>
        <v>17791.6</v>
      </c>
      <c r="F796" s="44"/>
    </row>
    <row r="797" spans="1:6" s="1" customFormat="1" ht="32.25" customHeight="1">
      <c r="A797" s="36" t="s">
        <v>339</v>
      </c>
      <c r="B797" s="37" t="s">
        <v>94</v>
      </c>
      <c r="C797" s="10" t="s">
        <v>494</v>
      </c>
      <c r="D797" s="37" t="s">
        <v>338</v>
      </c>
      <c r="E797" s="44">
        <f>E798</f>
        <v>17791.6</v>
      </c>
      <c r="F797" s="44"/>
    </row>
    <row r="798" spans="1:6" s="1" customFormat="1" ht="18" customHeight="1">
      <c r="A798" s="43" t="s">
        <v>337</v>
      </c>
      <c r="B798" s="37" t="s">
        <v>94</v>
      </c>
      <c r="C798" s="10" t="s">
        <v>494</v>
      </c>
      <c r="D798" s="37" t="s">
        <v>336</v>
      </c>
      <c r="E798" s="44">
        <f>300+791.6+15000+1700</f>
        <v>17791.6</v>
      </c>
      <c r="F798" s="44"/>
    </row>
    <row r="799" spans="1:6" s="1" customFormat="1" ht="75.75" customHeight="1">
      <c r="A799" s="43" t="s">
        <v>666</v>
      </c>
      <c r="B799" s="37" t="s">
        <v>94</v>
      </c>
      <c r="C799" s="39" t="s">
        <v>667</v>
      </c>
      <c r="D799" s="37"/>
      <c r="E799" s="44">
        <f>E800</f>
        <v>50</v>
      </c>
      <c r="F799" s="44"/>
    </row>
    <row r="800" spans="1:6" s="1" customFormat="1" ht="32.25" customHeight="1">
      <c r="A800" s="60" t="s">
        <v>339</v>
      </c>
      <c r="B800" s="37" t="s">
        <v>94</v>
      </c>
      <c r="C800" s="39" t="s">
        <v>667</v>
      </c>
      <c r="D800" s="37" t="s">
        <v>338</v>
      </c>
      <c r="E800" s="44">
        <f>E801</f>
        <v>50</v>
      </c>
      <c r="F800" s="44"/>
    </row>
    <row r="801" spans="1:6" s="1" customFormat="1" ht="18" customHeight="1">
      <c r="A801" s="42" t="s">
        <v>337</v>
      </c>
      <c r="B801" s="37" t="s">
        <v>94</v>
      </c>
      <c r="C801" s="39" t="s">
        <v>667</v>
      </c>
      <c r="D801" s="37" t="s">
        <v>336</v>
      </c>
      <c r="E801" s="44">
        <f>50</f>
        <v>50</v>
      </c>
      <c r="F801" s="44"/>
    </row>
    <row r="802" spans="1:6" s="1" customFormat="1" ht="18" customHeight="1">
      <c r="A802" s="80" t="s">
        <v>247</v>
      </c>
      <c r="B802" s="37" t="s">
        <v>94</v>
      </c>
      <c r="C802" s="39" t="s">
        <v>367</v>
      </c>
      <c r="D802" s="37"/>
      <c r="E802" s="44">
        <f>E803+E806</f>
        <v>8523.9</v>
      </c>
      <c r="F802" s="44">
        <f>F803+F806</f>
        <v>7749</v>
      </c>
    </row>
    <row r="803" spans="1:6" s="1" customFormat="1" ht="105.75" customHeight="1">
      <c r="A803" s="52" t="s">
        <v>520</v>
      </c>
      <c r="B803" s="37" t="s">
        <v>94</v>
      </c>
      <c r="C803" s="39" t="s">
        <v>483</v>
      </c>
      <c r="D803" s="37"/>
      <c r="E803" s="44">
        <f>E804</f>
        <v>7749</v>
      </c>
      <c r="F803" s="44">
        <f>F804</f>
        <v>7749</v>
      </c>
    </row>
    <row r="804" spans="1:6" s="1" customFormat="1" ht="30" customHeight="1">
      <c r="A804" s="36" t="s">
        <v>339</v>
      </c>
      <c r="B804" s="37" t="s">
        <v>94</v>
      </c>
      <c r="C804" s="39" t="s">
        <v>483</v>
      </c>
      <c r="D804" s="37" t="s">
        <v>338</v>
      </c>
      <c r="E804" s="44">
        <f>E805</f>
        <v>7749</v>
      </c>
      <c r="F804" s="44">
        <f>F805</f>
        <v>7749</v>
      </c>
    </row>
    <row r="805" spans="1:6" s="1" customFormat="1" ht="18" customHeight="1">
      <c r="A805" s="43" t="s">
        <v>337</v>
      </c>
      <c r="B805" s="37" t="s">
        <v>94</v>
      </c>
      <c r="C805" s="39" t="s">
        <v>483</v>
      </c>
      <c r="D805" s="37" t="s">
        <v>336</v>
      </c>
      <c r="E805" s="44">
        <f>5166+2583</f>
        <v>7749</v>
      </c>
      <c r="F805" s="44">
        <f>E805</f>
        <v>7749</v>
      </c>
    </row>
    <row r="806" spans="1:6" s="1" customFormat="1" ht="114" customHeight="1">
      <c r="A806" s="43" t="s">
        <v>521</v>
      </c>
      <c r="B806" s="37" t="s">
        <v>94</v>
      </c>
      <c r="C806" s="39" t="s">
        <v>483</v>
      </c>
      <c r="D806" s="37"/>
      <c r="E806" s="44">
        <f>E807</f>
        <v>774.9</v>
      </c>
      <c r="F806" s="44"/>
    </row>
    <row r="807" spans="1:6" s="1" customFormat="1" ht="28.5" customHeight="1">
      <c r="A807" s="36" t="s">
        <v>339</v>
      </c>
      <c r="B807" s="37" t="s">
        <v>94</v>
      </c>
      <c r="C807" s="39" t="s">
        <v>483</v>
      </c>
      <c r="D807" s="37" t="s">
        <v>338</v>
      </c>
      <c r="E807" s="44">
        <f>E808</f>
        <v>774.9</v>
      </c>
      <c r="F807" s="44"/>
    </row>
    <row r="808" spans="1:6" s="1" customFormat="1" ht="21.75" customHeight="1">
      <c r="A808" s="42" t="s">
        <v>337</v>
      </c>
      <c r="B808" s="37" t="s">
        <v>94</v>
      </c>
      <c r="C808" s="39" t="s">
        <v>483</v>
      </c>
      <c r="D808" s="37" t="s">
        <v>336</v>
      </c>
      <c r="E808" s="44">
        <f>1000-225.1</f>
        <v>774.9</v>
      </c>
      <c r="F808" s="44"/>
    </row>
    <row r="809" spans="1:8" s="1" customFormat="1" ht="21" customHeight="1">
      <c r="A809" s="71" t="s">
        <v>100</v>
      </c>
      <c r="B809" s="63" t="s">
        <v>120</v>
      </c>
      <c r="C809" s="63"/>
      <c r="D809" s="63"/>
      <c r="E809" s="11">
        <f>E810+E902+E906</f>
        <v>3348430.6</v>
      </c>
      <c r="F809" s="11">
        <f>F810+F902</f>
        <v>2643933.9</v>
      </c>
      <c r="H809" s="100"/>
    </row>
    <row r="810" spans="1:8" s="1" customFormat="1" ht="45" customHeight="1">
      <c r="A810" s="52" t="s">
        <v>271</v>
      </c>
      <c r="B810" s="38" t="s">
        <v>120</v>
      </c>
      <c r="C810" s="10" t="s">
        <v>135</v>
      </c>
      <c r="D810" s="37"/>
      <c r="E810" s="66">
        <f>E811</f>
        <v>3346205.5</v>
      </c>
      <c r="F810" s="66">
        <f>F811</f>
        <v>2643933.9</v>
      </c>
      <c r="H810" s="100"/>
    </row>
    <row r="811" spans="1:6" s="1" customFormat="1" ht="16.5" customHeight="1">
      <c r="A811" s="36" t="s">
        <v>285</v>
      </c>
      <c r="B811" s="38" t="s">
        <v>120</v>
      </c>
      <c r="C811" s="10" t="s">
        <v>33</v>
      </c>
      <c r="D811" s="37"/>
      <c r="E811" s="66">
        <f>E824+E859+E827+E830+E834+E837+E843+E852+E840+E849+E846+E855+E812+E818+E821+E815</f>
        <v>3346205.5</v>
      </c>
      <c r="F811" s="66">
        <f>F824+F859+F827+F830+F834+F837+F843+F852+F840+F849+F846+F855+F812+F818+F821+F815</f>
        <v>2643933.9</v>
      </c>
    </row>
    <row r="812" spans="1:6" s="1" customFormat="1" ht="48" customHeight="1">
      <c r="A812" s="51" t="s">
        <v>636</v>
      </c>
      <c r="B812" s="38" t="s">
        <v>120</v>
      </c>
      <c r="C812" s="39" t="s">
        <v>662</v>
      </c>
      <c r="D812" s="37"/>
      <c r="E812" s="44">
        <f>E813</f>
        <v>1920</v>
      </c>
      <c r="F812" s="44">
        <f>F813</f>
        <v>1920</v>
      </c>
    </row>
    <row r="813" spans="1:6" s="1" customFormat="1" ht="30.75" customHeight="1">
      <c r="A813" s="60" t="s">
        <v>339</v>
      </c>
      <c r="B813" s="38" t="s">
        <v>120</v>
      </c>
      <c r="C813" s="39" t="s">
        <v>662</v>
      </c>
      <c r="D813" s="37" t="s">
        <v>338</v>
      </c>
      <c r="E813" s="44">
        <f>E814</f>
        <v>1920</v>
      </c>
      <c r="F813" s="44">
        <f>F814</f>
        <v>1920</v>
      </c>
    </row>
    <row r="814" spans="1:6" s="1" customFormat="1" ht="16.5" customHeight="1">
      <c r="A814" s="60" t="s">
        <v>337</v>
      </c>
      <c r="B814" s="38" t="s">
        <v>120</v>
      </c>
      <c r="C814" s="39" t="s">
        <v>662</v>
      </c>
      <c r="D814" s="37" t="s">
        <v>336</v>
      </c>
      <c r="E814" s="44">
        <f>1870+50</f>
        <v>1920</v>
      </c>
      <c r="F814" s="44">
        <f>E814</f>
        <v>1920</v>
      </c>
    </row>
    <row r="815" spans="1:6" s="1" customFormat="1" ht="23.25" customHeight="1">
      <c r="A815" s="51" t="s">
        <v>777</v>
      </c>
      <c r="B815" s="38" t="s">
        <v>120</v>
      </c>
      <c r="C815" s="39" t="s">
        <v>757</v>
      </c>
      <c r="D815" s="37"/>
      <c r="E815" s="44">
        <f>E816</f>
        <v>41187</v>
      </c>
      <c r="F815" s="44">
        <f>F816</f>
        <v>41187</v>
      </c>
    </row>
    <row r="816" spans="1:6" s="1" customFormat="1" ht="34.5" customHeight="1">
      <c r="A816" s="60" t="s">
        <v>339</v>
      </c>
      <c r="B816" s="38" t="s">
        <v>120</v>
      </c>
      <c r="C816" s="39" t="s">
        <v>757</v>
      </c>
      <c r="D816" s="37" t="s">
        <v>338</v>
      </c>
      <c r="E816" s="44">
        <f>E817</f>
        <v>41187</v>
      </c>
      <c r="F816" s="44">
        <f>F817</f>
        <v>41187</v>
      </c>
    </row>
    <row r="817" spans="1:6" s="1" customFormat="1" ht="16.5" customHeight="1">
      <c r="A817" s="60" t="s">
        <v>337</v>
      </c>
      <c r="B817" s="38" t="s">
        <v>120</v>
      </c>
      <c r="C817" s="39" t="s">
        <v>757</v>
      </c>
      <c r="D817" s="37" t="s">
        <v>336</v>
      </c>
      <c r="E817" s="44">
        <v>41187</v>
      </c>
      <c r="F817" s="44">
        <f>E817</f>
        <v>41187</v>
      </c>
    </row>
    <row r="818" spans="1:6" s="1" customFormat="1" ht="31.5" customHeight="1">
      <c r="A818" s="36" t="s">
        <v>669</v>
      </c>
      <c r="B818" s="38" t="s">
        <v>120</v>
      </c>
      <c r="C818" s="10" t="s">
        <v>664</v>
      </c>
      <c r="D818" s="37"/>
      <c r="E818" s="44">
        <f>E819</f>
        <v>4246.8</v>
      </c>
      <c r="F818" s="44">
        <f>F819</f>
        <v>4143.2</v>
      </c>
    </row>
    <row r="819" spans="1:6" s="1" customFormat="1" ht="30.75" customHeight="1">
      <c r="A819" s="60" t="s">
        <v>339</v>
      </c>
      <c r="B819" s="38" t="s">
        <v>120</v>
      </c>
      <c r="C819" s="10" t="s">
        <v>664</v>
      </c>
      <c r="D819" s="37" t="s">
        <v>338</v>
      </c>
      <c r="E819" s="44">
        <f>E820</f>
        <v>4246.8</v>
      </c>
      <c r="F819" s="44">
        <f>F820</f>
        <v>4143.2</v>
      </c>
    </row>
    <row r="820" spans="1:6" s="1" customFormat="1" ht="16.5" customHeight="1">
      <c r="A820" s="60" t="s">
        <v>337</v>
      </c>
      <c r="B820" s="38" t="s">
        <v>120</v>
      </c>
      <c r="C820" s="10" t="s">
        <v>664</v>
      </c>
      <c r="D820" s="37" t="s">
        <v>336</v>
      </c>
      <c r="E820" s="44">
        <f>3107.4+1035.8+103.6</f>
        <v>4246.8</v>
      </c>
      <c r="F820" s="44">
        <v>4143.2</v>
      </c>
    </row>
    <row r="821" spans="1:6" s="1" customFormat="1" ht="47.25" customHeight="1">
      <c r="A821" s="36" t="s">
        <v>670</v>
      </c>
      <c r="B821" s="38" t="s">
        <v>120</v>
      </c>
      <c r="C821" s="10" t="s">
        <v>665</v>
      </c>
      <c r="D821" s="37"/>
      <c r="E821" s="44">
        <f>E822</f>
        <v>4935.7</v>
      </c>
      <c r="F821" s="44">
        <f>F822</f>
        <v>4815.3</v>
      </c>
    </row>
    <row r="822" spans="1:6" s="1" customFormat="1" ht="30.75" customHeight="1">
      <c r="A822" s="60" t="s">
        <v>339</v>
      </c>
      <c r="B822" s="38" t="s">
        <v>120</v>
      </c>
      <c r="C822" s="10" t="s">
        <v>665</v>
      </c>
      <c r="D822" s="37" t="s">
        <v>338</v>
      </c>
      <c r="E822" s="44">
        <f>E823</f>
        <v>4935.7</v>
      </c>
      <c r="F822" s="44">
        <f>F823</f>
        <v>4815.3</v>
      </c>
    </row>
    <row r="823" spans="1:6" s="1" customFormat="1" ht="16.5" customHeight="1">
      <c r="A823" s="60" t="s">
        <v>337</v>
      </c>
      <c r="B823" s="38" t="s">
        <v>120</v>
      </c>
      <c r="C823" s="10" t="s">
        <v>665</v>
      </c>
      <c r="D823" s="37" t="s">
        <v>336</v>
      </c>
      <c r="E823" s="44">
        <f>1203.8+3611.5+120.4</f>
        <v>4935.7</v>
      </c>
      <c r="F823" s="44">
        <v>4815.3</v>
      </c>
    </row>
    <row r="824" spans="1:6" s="1" customFormat="1" ht="166.5" customHeight="1">
      <c r="A824" s="72" t="s">
        <v>278</v>
      </c>
      <c r="B824" s="38" t="s">
        <v>120</v>
      </c>
      <c r="C824" s="10" t="s">
        <v>431</v>
      </c>
      <c r="D824" s="39"/>
      <c r="E824" s="57">
        <f>E825</f>
        <v>1765172</v>
      </c>
      <c r="F824" s="57">
        <f>F825</f>
        <v>1765172</v>
      </c>
    </row>
    <row r="825" spans="1:6" s="1" customFormat="1" ht="32.25" customHeight="1">
      <c r="A825" s="36" t="s">
        <v>339</v>
      </c>
      <c r="B825" s="38" t="s">
        <v>120</v>
      </c>
      <c r="C825" s="10" t="s">
        <v>431</v>
      </c>
      <c r="D825" s="10" t="s">
        <v>338</v>
      </c>
      <c r="E825" s="57">
        <f>E826</f>
        <v>1765172</v>
      </c>
      <c r="F825" s="57">
        <f>F826</f>
        <v>1765172</v>
      </c>
    </row>
    <row r="826" spans="1:6" s="1" customFormat="1" ht="21" customHeight="1">
      <c r="A826" s="42" t="s">
        <v>337</v>
      </c>
      <c r="B826" s="38" t="s">
        <v>120</v>
      </c>
      <c r="C826" s="10" t="s">
        <v>431</v>
      </c>
      <c r="D826" s="39" t="s">
        <v>336</v>
      </c>
      <c r="E826" s="40">
        <f>1763075-3286+649-8987+13721</f>
        <v>1765172</v>
      </c>
      <c r="F826" s="40">
        <f>E826</f>
        <v>1765172</v>
      </c>
    </row>
    <row r="827" spans="1:6" s="1" customFormat="1" ht="150.75" customHeight="1">
      <c r="A827" s="72" t="s">
        <v>410</v>
      </c>
      <c r="B827" s="38" t="s">
        <v>120</v>
      </c>
      <c r="C827" s="48" t="s">
        <v>433</v>
      </c>
      <c r="D827" s="48"/>
      <c r="E827" s="57">
        <f>E829</f>
        <v>34801</v>
      </c>
      <c r="F827" s="57">
        <f>F829</f>
        <v>34801</v>
      </c>
    </row>
    <row r="828" spans="1:6" s="1" customFormat="1" ht="29.25" customHeight="1">
      <c r="A828" s="36" t="s">
        <v>339</v>
      </c>
      <c r="B828" s="38" t="s">
        <v>120</v>
      </c>
      <c r="C828" s="48" t="s">
        <v>433</v>
      </c>
      <c r="D828" s="48" t="s">
        <v>338</v>
      </c>
      <c r="E828" s="57">
        <f>E829</f>
        <v>34801</v>
      </c>
      <c r="F828" s="57">
        <f>F829</f>
        <v>34801</v>
      </c>
    </row>
    <row r="829" spans="1:6" s="1" customFormat="1" ht="30" customHeight="1">
      <c r="A829" s="73" t="s">
        <v>47</v>
      </c>
      <c r="B829" s="38" t="s">
        <v>120</v>
      </c>
      <c r="C829" s="48" t="s">
        <v>433</v>
      </c>
      <c r="D829" s="47" t="s">
        <v>83</v>
      </c>
      <c r="E829" s="40">
        <f>44349-9548</f>
        <v>34801</v>
      </c>
      <c r="F829" s="40">
        <f>E829</f>
        <v>34801</v>
      </c>
    </row>
    <row r="830" spans="1:6" s="1" customFormat="1" ht="107.25" customHeight="1">
      <c r="A830" s="72" t="s">
        <v>276</v>
      </c>
      <c r="B830" s="38" t="s">
        <v>120</v>
      </c>
      <c r="C830" s="10" t="s">
        <v>432</v>
      </c>
      <c r="D830" s="10"/>
      <c r="E830" s="57">
        <f>E831</f>
        <v>118385.5</v>
      </c>
      <c r="F830" s="57">
        <f>F831</f>
        <v>118385.5</v>
      </c>
    </row>
    <row r="831" spans="1:6" s="1" customFormat="1" ht="30" customHeight="1">
      <c r="A831" s="36" t="s">
        <v>339</v>
      </c>
      <c r="B831" s="38" t="s">
        <v>120</v>
      </c>
      <c r="C831" s="10" t="s">
        <v>432</v>
      </c>
      <c r="D831" s="10" t="s">
        <v>338</v>
      </c>
      <c r="E831" s="57">
        <f>E832+E833</f>
        <v>118385.5</v>
      </c>
      <c r="F831" s="57">
        <f>F832+F833</f>
        <v>118385.5</v>
      </c>
    </row>
    <row r="832" spans="1:6" s="1" customFormat="1" ht="21.75" customHeight="1">
      <c r="A832" s="42" t="s">
        <v>337</v>
      </c>
      <c r="B832" s="38" t="s">
        <v>120</v>
      </c>
      <c r="C832" s="10" t="s">
        <v>432</v>
      </c>
      <c r="D832" s="39" t="s">
        <v>336</v>
      </c>
      <c r="E832" s="40">
        <f>116791.4-30-343-342.5</f>
        <v>116075.9</v>
      </c>
      <c r="F832" s="40">
        <f>E832</f>
        <v>116075.9</v>
      </c>
    </row>
    <row r="833" spans="1:6" s="1" customFormat="1" ht="30" customHeight="1">
      <c r="A833" s="67" t="s">
        <v>47</v>
      </c>
      <c r="B833" s="38" t="s">
        <v>120</v>
      </c>
      <c r="C833" s="10" t="s">
        <v>432</v>
      </c>
      <c r="D833" s="10" t="s">
        <v>83</v>
      </c>
      <c r="E833" s="57">
        <f>2279.6+30</f>
        <v>2309.6</v>
      </c>
      <c r="F833" s="57">
        <f>E833</f>
        <v>2309.6</v>
      </c>
    </row>
    <row r="834" spans="1:6" s="1" customFormat="1" ht="58.5" customHeight="1">
      <c r="A834" s="41" t="s">
        <v>413</v>
      </c>
      <c r="B834" s="38" t="s">
        <v>120</v>
      </c>
      <c r="C834" s="10" t="s">
        <v>434</v>
      </c>
      <c r="D834" s="10"/>
      <c r="E834" s="57">
        <f>E836</f>
        <v>516</v>
      </c>
      <c r="F834" s="57">
        <f>F836</f>
        <v>516</v>
      </c>
    </row>
    <row r="835" spans="1:6" s="1" customFormat="1" ht="32.25" customHeight="1">
      <c r="A835" s="60" t="s">
        <v>339</v>
      </c>
      <c r="B835" s="38" t="s">
        <v>120</v>
      </c>
      <c r="C835" s="10" t="s">
        <v>434</v>
      </c>
      <c r="D835" s="39" t="s">
        <v>338</v>
      </c>
      <c r="E835" s="40">
        <f>E836</f>
        <v>516</v>
      </c>
      <c r="F835" s="40">
        <f>F836</f>
        <v>516</v>
      </c>
    </row>
    <row r="836" spans="1:6" s="1" customFormat="1" ht="24" customHeight="1">
      <c r="A836" s="42" t="s">
        <v>337</v>
      </c>
      <c r="B836" s="38" t="s">
        <v>120</v>
      </c>
      <c r="C836" s="10" t="s">
        <v>434</v>
      </c>
      <c r="D836" s="39" t="s">
        <v>336</v>
      </c>
      <c r="E836" s="40">
        <f>1266-750</f>
        <v>516</v>
      </c>
      <c r="F836" s="40">
        <f>E836</f>
        <v>516</v>
      </c>
    </row>
    <row r="837" spans="1:6" s="1" customFormat="1" ht="90" customHeight="1">
      <c r="A837" s="72" t="s">
        <v>420</v>
      </c>
      <c r="B837" s="38" t="s">
        <v>120</v>
      </c>
      <c r="C837" s="10" t="s">
        <v>435</v>
      </c>
      <c r="D837" s="48"/>
      <c r="E837" s="53">
        <f>E838</f>
        <v>12974</v>
      </c>
      <c r="F837" s="53">
        <f>F838</f>
        <v>12974</v>
      </c>
    </row>
    <row r="838" spans="1:6" s="1" customFormat="1" ht="30" customHeight="1">
      <c r="A838" s="60" t="s">
        <v>339</v>
      </c>
      <c r="B838" s="38" t="s">
        <v>120</v>
      </c>
      <c r="C838" s="10" t="s">
        <v>435</v>
      </c>
      <c r="D838" s="39" t="s">
        <v>338</v>
      </c>
      <c r="E838" s="40">
        <f>E839</f>
        <v>12974</v>
      </c>
      <c r="F838" s="40">
        <f>F839</f>
        <v>12974</v>
      </c>
    </row>
    <row r="839" spans="1:6" s="1" customFormat="1" ht="33" customHeight="1">
      <c r="A839" s="73" t="s">
        <v>47</v>
      </c>
      <c r="B839" s="38" t="s">
        <v>120</v>
      </c>
      <c r="C839" s="10" t="s">
        <v>435</v>
      </c>
      <c r="D839" s="39" t="s">
        <v>83</v>
      </c>
      <c r="E839" s="40">
        <f>12974</f>
        <v>12974</v>
      </c>
      <c r="F839" s="40">
        <f>E839</f>
        <v>12974</v>
      </c>
    </row>
    <row r="840" spans="1:6" s="1" customFormat="1" ht="60.75" customHeight="1">
      <c r="A840" s="67" t="s">
        <v>442</v>
      </c>
      <c r="B840" s="38" t="s">
        <v>120</v>
      </c>
      <c r="C840" s="10" t="s">
        <v>227</v>
      </c>
      <c r="D840" s="39"/>
      <c r="E840" s="53">
        <f>E841</f>
        <v>1680</v>
      </c>
      <c r="F840" s="53">
        <f>F841</f>
        <v>1680</v>
      </c>
    </row>
    <row r="841" spans="1:6" s="1" customFormat="1" ht="33" customHeight="1">
      <c r="A841" s="36" t="s">
        <v>339</v>
      </c>
      <c r="B841" s="38" t="s">
        <v>120</v>
      </c>
      <c r="C841" s="10" t="s">
        <v>227</v>
      </c>
      <c r="D841" s="39" t="s">
        <v>338</v>
      </c>
      <c r="E841" s="40">
        <f>E842</f>
        <v>1680</v>
      </c>
      <c r="F841" s="40">
        <f>F842</f>
        <v>1680</v>
      </c>
    </row>
    <row r="842" spans="1:6" s="1" customFormat="1" ht="20.25" customHeight="1">
      <c r="A842" s="43" t="s">
        <v>337</v>
      </c>
      <c r="B842" s="38" t="s">
        <v>120</v>
      </c>
      <c r="C842" s="10" t="s">
        <v>227</v>
      </c>
      <c r="D842" s="39" t="s">
        <v>336</v>
      </c>
      <c r="E842" s="40">
        <f>1680</f>
        <v>1680</v>
      </c>
      <c r="F842" s="40">
        <f>E842</f>
        <v>1680</v>
      </c>
    </row>
    <row r="843" spans="1:6" s="1" customFormat="1" ht="61.5" customHeight="1">
      <c r="A843" s="43" t="s">
        <v>282</v>
      </c>
      <c r="B843" s="38" t="s">
        <v>120</v>
      </c>
      <c r="C843" s="10" t="s">
        <v>228</v>
      </c>
      <c r="D843" s="39"/>
      <c r="E843" s="40">
        <f>E844</f>
        <v>2087</v>
      </c>
      <c r="F843" s="40">
        <f>F844</f>
        <v>2087</v>
      </c>
    </row>
    <row r="844" spans="1:6" s="1" customFormat="1" ht="32.25" customHeight="1">
      <c r="A844" s="36" t="s">
        <v>339</v>
      </c>
      <c r="B844" s="38" t="s">
        <v>120</v>
      </c>
      <c r="C844" s="10" t="s">
        <v>228</v>
      </c>
      <c r="D844" s="39" t="s">
        <v>338</v>
      </c>
      <c r="E844" s="40">
        <f>E845</f>
        <v>2087</v>
      </c>
      <c r="F844" s="40">
        <f>F845</f>
        <v>2087</v>
      </c>
    </row>
    <row r="845" spans="1:6" s="1" customFormat="1" ht="21" customHeight="1">
      <c r="A845" s="43" t="s">
        <v>337</v>
      </c>
      <c r="B845" s="38" t="s">
        <v>120</v>
      </c>
      <c r="C845" s="10" t="s">
        <v>228</v>
      </c>
      <c r="D845" s="39" t="s">
        <v>336</v>
      </c>
      <c r="E845" s="40">
        <f>2079+8</f>
        <v>2087</v>
      </c>
      <c r="F845" s="40">
        <f>E845</f>
        <v>2087</v>
      </c>
    </row>
    <row r="846" spans="1:6" s="1" customFormat="1" ht="30.75" customHeight="1">
      <c r="A846" s="43" t="s">
        <v>542</v>
      </c>
      <c r="B846" s="38" t="s">
        <v>120</v>
      </c>
      <c r="C846" s="10" t="s">
        <v>714</v>
      </c>
      <c r="D846" s="39"/>
      <c r="E846" s="40">
        <f>E847</f>
        <v>745</v>
      </c>
      <c r="F846" s="40">
        <f>F847</f>
        <v>745</v>
      </c>
    </row>
    <row r="847" spans="1:6" s="1" customFormat="1" ht="31.5" customHeight="1">
      <c r="A847" s="36" t="s">
        <v>339</v>
      </c>
      <c r="B847" s="38" t="s">
        <v>120</v>
      </c>
      <c r="C847" s="10" t="s">
        <v>714</v>
      </c>
      <c r="D847" s="39" t="s">
        <v>338</v>
      </c>
      <c r="E847" s="40">
        <f>E848</f>
        <v>745</v>
      </c>
      <c r="F847" s="40">
        <f>F848</f>
        <v>745</v>
      </c>
    </row>
    <row r="848" spans="1:6" s="1" customFormat="1" ht="21" customHeight="1">
      <c r="A848" s="43" t="s">
        <v>337</v>
      </c>
      <c r="B848" s="38" t="s">
        <v>120</v>
      </c>
      <c r="C848" s="10" t="s">
        <v>714</v>
      </c>
      <c r="D848" s="39" t="s">
        <v>336</v>
      </c>
      <c r="E848" s="40">
        <f>382+362.2+0.8</f>
        <v>745</v>
      </c>
      <c r="F848" s="40">
        <f>E848</f>
        <v>745</v>
      </c>
    </row>
    <row r="849" spans="1:6" s="1" customFormat="1" ht="31.5" customHeight="1">
      <c r="A849" s="43" t="s">
        <v>508</v>
      </c>
      <c r="B849" s="38" t="s">
        <v>120</v>
      </c>
      <c r="C849" s="39" t="s">
        <v>733</v>
      </c>
      <c r="D849" s="37"/>
      <c r="E849" s="44">
        <f>E850</f>
        <v>18050</v>
      </c>
      <c r="F849" s="40">
        <f>F850</f>
        <v>18050</v>
      </c>
    </row>
    <row r="850" spans="1:6" s="1" customFormat="1" ht="32.25" customHeight="1">
      <c r="A850" s="46" t="s">
        <v>325</v>
      </c>
      <c r="B850" s="38" t="s">
        <v>120</v>
      </c>
      <c r="C850" s="39" t="s">
        <v>733</v>
      </c>
      <c r="D850" s="37" t="s">
        <v>392</v>
      </c>
      <c r="E850" s="44">
        <f>E851</f>
        <v>18050</v>
      </c>
      <c r="F850" s="44">
        <f>F851</f>
        <v>18050</v>
      </c>
    </row>
    <row r="851" spans="1:6" s="1" customFormat="1" ht="104.25" customHeight="1">
      <c r="A851" s="42" t="s">
        <v>7</v>
      </c>
      <c r="B851" s="38" t="s">
        <v>120</v>
      </c>
      <c r="C851" s="39" t="s">
        <v>733</v>
      </c>
      <c r="D851" s="37" t="s">
        <v>6</v>
      </c>
      <c r="E851" s="44">
        <f>14250+3800</f>
        <v>18050</v>
      </c>
      <c r="F851" s="44">
        <f>E851</f>
        <v>18050</v>
      </c>
    </row>
    <row r="852" spans="1:6" s="1" customFormat="1" ht="48.75" customHeight="1">
      <c r="A852" s="42" t="s">
        <v>630</v>
      </c>
      <c r="B852" s="38" t="s">
        <v>120</v>
      </c>
      <c r="C852" s="39" t="s">
        <v>732</v>
      </c>
      <c r="D852" s="37"/>
      <c r="E852" s="40">
        <f>E853</f>
        <v>627539.9</v>
      </c>
      <c r="F852" s="40">
        <f>F853</f>
        <v>627539.9</v>
      </c>
    </row>
    <row r="853" spans="1:6" s="1" customFormat="1" ht="33" customHeight="1">
      <c r="A853" s="46" t="s">
        <v>325</v>
      </c>
      <c r="B853" s="38" t="s">
        <v>120</v>
      </c>
      <c r="C853" s="39" t="s">
        <v>732</v>
      </c>
      <c r="D853" s="37" t="s">
        <v>392</v>
      </c>
      <c r="E853" s="44">
        <f>E854</f>
        <v>627539.9</v>
      </c>
      <c r="F853" s="44">
        <f>F854</f>
        <v>627539.9</v>
      </c>
    </row>
    <row r="854" spans="1:6" s="1" customFormat="1" ht="107.25" customHeight="1">
      <c r="A854" s="42" t="s">
        <v>7</v>
      </c>
      <c r="B854" s="38" t="s">
        <v>120</v>
      </c>
      <c r="C854" s="39" t="s">
        <v>732</v>
      </c>
      <c r="D854" s="37" t="s">
        <v>6</v>
      </c>
      <c r="E854" s="44">
        <f>522657.2-95000+199882.7</f>
        <v>627539.9</v>
      </c>
      <c r="F854" s="44">
        <f>E854</f>
        <v>627539.9</v>
      </c>
    </row>
    <row r="855" spans="1:6" s="1" customFormat="1" ht="48" customHeight="1">
      <c r="A855" s="42" t="s">
        <v>631</v>
      </c>
      <c r="B855" s="38" t="s">
        <v>120</v>
      </c>
      <c r="C855" s="39" t="s">
        <v>732</v>
      </c>
      <c r="D855" s="37"/>
      <c r="E855" s="40">
        <f>E856</f>
        <v>9918</v>
      </c>
      <c r="F855" s="40">
        <f>F856</f>
        <v>9918</v>
      </c>
    </row>
    <row r="856" spans="1:6" s="1" customFormat="1" ht="32.25" customHeight="1">
      <c r="A856" s="46" t="s">
        <v>325</v>
      </c>
      <c r="B856" s="38" t="s">
        <v>120</v>
      </c>
      <c r="C856" s="39" t="s">
        <v>732</v>
      </c>
      <c r="D856" s="37" t="s">
        <v>392</v>
      </c>
      <c r="E856" s="44">
        <f>E857</f>
        <v>9918</v>
      </c>
      <c r="F856" s="44">
        <f>F857</f>
        <v>9918</v>
      </c>
    </row>
    <row r="857" spans="1:6" s="1" customFormat="1" ht="108.75" customHeight="1">
      <c r="A857" s="42" t="s">
        <v>7</v>
      </c>
      <c r="B857" s="38" t="s">
        <v>120</v>
      </c>
      <c r="C857" s="39" t="s">
        <v>732</v>
      </c>
      <c r="D857" s="37" t="s">
        <v>6</v>
      </c>
      <c r="E857" s="44">
        <f>95000-85984+902</f>
        <v>9918</v>
      </c>
      <c r="F857" s="44">
        <f>E857</f>
        <v>9918</v>
      </c>
    </row>
    <row r="858" spans="1:6" s="2" customFormat="1" ht="24.75" customHeight="1">
      <c r="A858" s="36" t="s">
        <v>285</v>
      </c>
      <c r="B858" s="70" t="s">
        <v>120</v>
      </c>
      <c r="C858" s="48" t="s">
        <v>33</v>
      </c>
      <c r="D858" s="69"/>
      <c r="E858" s="50">
        <f>E859</f>
        <v>702047.6000000001</v>
      </c>
      <c r="F858" s="50">
        <f>F859</f>
        <v>0</v>
      </c>
    </row>
    <row r="859" spans="1:6" s="1" customFormat="1" ht="19.5" customHeight="1">
      <c r="A859" s="75" t="s">
        <v>100</v>
      </c>
      <c r="B859" s="38" t="s">
        <v>120</v>
      </c>
      <c r="C859" s="10" t="s">
        <v>33</v>
      </c>
      <c r="D859" s="48"/>
      <c r="E859" s="40">
        <f>E875+E878+E887+E863+E872+E860+E893+E869+E899+E890+E866+E896</f>
        <v>702047.6000000001</v>
      </c>
      <c r="F859" s="40">
        <f>F875+F878+F887+F863+F872+F860+F893+F869+F899</f>
        <v>0</v>
      </c>
    </row>
    <row r="860" spans="1:6" s="1" customFormat="1" ht="59.25" customHeight="1">
      <c r="A860" s="46" t="s">
        <v>440</v>
      </c>
      <c r="B860" s="38" t="s">
        <v>120</v>
      </c>
      <c r="C860" s="39" t="s">
        <v>227</v>
      </c>
      <c r="D860" s="48"/>
      <c r="E860" s="40">
        <f>E861</f>
        <v>420</v>
      </c>
      <c r="F860" s="57"/>
    </row>
    <row r="861" spans="1:6" s="1" customFormat="1" ht="32.25" customHeight="1">
      <c r="A861" s="60" t="s">
        <v>339</v>
      </c>
      <c r="B861" s="38" t="s">
        <v>120</v>
      </c>
      <c r="C861" s="39" t="s">
        <v>227</v>
      </c>
      <c r="D861" s="48" t="s">
        <v>338</v>
      </c>
      <c r="E861" s="40">
        <f>E862</f>
        <v>420</v>
      </c>
      <c r="F861" s="57"/>
    </row>
    <row r="862" spans="1:6" s="1" customFormat="1" ht="24" customHeight="1">
      <c r="A862" s="43" t="s">
        <v>337</v>
      </c>
      <c r="B862" s="38" t="s">
        <v>120</v>
      </c>
      <c r="C862" s="39" t="s">
        <v>227</v>
      </c>
      <c r="D862" s="48" t="s">
        <v>336</v>
      </c>
      <c r="E862" s="40">
        <f>420</f>
        <v>420</v>
      </c>
      <c r="F862" s="57"/>
    </row>
    <row r="863" spans="1:6" s="1" customFormat="1" ht="60.75" customHeight="1">
      <c r="A863" s="43" t="s">
        <v>329</v>
      </c>
      <c r="B863" s="38" t="s">
        <v>120</v>
      </c>
      <c r="C863" s="39" t="s">
        <v>228</v>
      </c>
      <c r="D863" s="10"/>
      <c r="E863" s="40">
        <f>E864</f>
        <v>2087</v>
      </c>
      <c r="F863" s="57"/>
    </row>
    <row r="864" spans="1:6" s="1" customFormat="1" ht="30.75" customHeight="1">
      <c r="A864" s="60" t="s">
        <v>339</v>
      </c>
      <c r="B864" s="38" t="s">
        <v>120</v>
      </c>
      <c r="C864" s="39" t="s">
        <v>228</v>
      </c>
      <c r="D864" s="37" t="s">
        <v>338</v>
      </c>
      <c r="E864" s="40">
        <f>E865</f>
        <v>2087</v>
      </c>
      <c r="F864" s="40"/>
    </row>
    <row r="865" spans="1:6" s="1" customFormat="1" ht="25.5" customHeight="1">
      <c r="A865" s="43" t="s">
        <v>337</v>
      </c>
      <c r="B865" s="38" t="s">
        <v>120</v>
      </c>
      <c r="C865" s="39" t="s">
        <v>228</v>
      </c>
      <c r="D865" s="37" t="s">
        <v>336</v>
      </c>
      <c r="E865" s="40">
        <f>2079+8</f>
        <v>2087</v>
      </c>
      <c r="F865" s="57"/>
    </row>
    <row r="866" spans="1:6" s="1" customFormat="1" ht="32.25" customHeight="1">
      <c r="A866" s="43" t="s">
        <v>668</v>
      </c>
      <c r="B866" s="38" t="s">
        <v>120</v>
      </c>
      <c r="C866" s="10" t="s">
        <v>714</v>
      </c>
      <c r="D866" s="39"/>
      <c r="E866" s="40">
        <f>E867</f>
        <v>2232.6</v>
      </c>
      <c r="F866" s="57"/>
    </row>
    <row r="867" spans="1:6" s="1" customFormat="1" ht="29.25" customHeight="1">
      <c r="A867" s="36" t="s">
        <v>339</v>
      </c>
      <c r="B867" s="38" t="s">
        <v>120</v>
      </c>
      <c r="C867" s="10" t="s">
        <v>714</v>
      </c>
      <c r="D867" s="39" t="s">
        <v>338</v>
      </c>
      <c r="E867" s="40">
        <f>E868</f>
        <v>2232.6</v>
      </c>
      <c r="F867" s="57"/>
    </row>
    <row r="868" spans="1:6" s="1" customFormat="1" ht="20.25" customHeight="1">
      <c r="A868" s="43" t="s">
        <v>337</v>
      </c>
      <c r="B868" s="38" t="s">
        <v>120</v>
      </c>
      <c r="C868" s="10" t="s">
        <v>714</v>
      </c>
      <c r="D868" s="39" t="s">
        <v>336</v>
      </c>
      <c r="E868" s="40">
        <f>2232.6</f>
        <v>2232.6</v>
      </c>
      <c r="F868" s="57"/>
    </row>
    <row r="869" spans="1:6" s="1" customFormat="1" ht="60.75" customHeight="1">
      <c r="A869" s="43" t="s">
        <v>480</v>
      </c>
      <c r="B869" s="38" t="s">
        <v>120</v>
      </c>
      <c r="C869" s="39" t="s">
        <v>481</v>
      </c>
      <c r="D869" s="10"/>
      <c r="E869" s="40">
        <f>E870</f>
        <v>6776</v>
      </c>
      <c r="F869" s="57"/>
    </row>
    <row r="870" spans="1:6" s="1" customFormat="1" ht="30.75" customHeight="1">
      <c r="A870" s="60" t="s">
        <v>339</v>
      </c>
      <c r="B870" s="38" t="s">
        <v>120</v>
      </c>
      <c r="C870" s="39" t="s">
        <v>481</v>
      </c>
      <c r="D870" s="37" t="s">
        <v>338</v>
      </c>
      <c r="E870" s="40">
        <f>E871</f>
        <v>6776</v>
      </c>
      <c r="F870" s="40"/>
    </row>
    <row r="871" spans="1:6" s="1" customFormat="1" ht="25.5" customHeight="1">
      <c r="A871" s="43" t="s">
        <v>337</v>
      </c>
      <c r="B871" s="38" t="s">
        <v>120</v>
      </c>
      <c r="C871" s="39" t="s">
        <v>481</v>
      </c>
      <c r="D871" s="37" t="s">
        <v>336</v>
      </c>
      <c r="E871" s="40">
        <f>6942-16-150</f>
        <v>6776</v>
      </c>
      <c r="F871" s="57"/>
    </row>
    <row r="872" spans="1:6" s="1" customFormat="1" ht="33.75" customHeight="1">
      <c r="A872" s="36" t="s">
        <v>400</v>
      </c>
      <c r="B872" s="38" t="s">
        <v>120</v>
      </c>
      <c r="C872" s="10" t="s">
        <v>354</v>
      </c>
      <c r="D872" s="37"/>
      <c r="E872" s="40">
        <f>E873</f>
        <v>5538.4</v>
      </c>
      <c r="F872" s="57"/>
    </row>
    <row r="873" spans="1:6" s="1" customFormat="1" ht="33" customHeight="1">
      <c r="A873" s="60" t="s">
        <v>339</v>
      </c>
      <c r="B873" s="38" t="s">
        <v>120</v>
      </c>
      <c r="C873" s="39" t="s">
        <v>354</v>
      </c>
      <c r="D873" s="37" t="s">
        <v>338</v>
      </c>
      <c r="E873" s="40">
        <f>E874</f>
        <v>5538.4</v>
      </c>
      <c r="F873" s="40"/>
    </row>
    <row r="874" spans="1:6" s="1" customFormat="1" ht="27.75" customHeight="1">
      <c r="A874" s="43" t="s">
        <v>337</v>
      </c>
      <c r="B874" s="38" t="s">
        <v>120</v>
      </c>
      <c r="C874" s="10" t="s">
        <v>354</v>
      </c>
      <c r="D874" s="37" t="s">
        <v>336</v>
      </c>
      <c r="E874" s="40">
        <f>5538.4</f>
        <v>5538.4</v>
      </c>
      <c r="F874" s="57"/>
    </row>
    <row r="875" spans="1:6" s="1" customFormat="1" ht="32.25" customHeight="1">
      <c r="A875" s="42" t="s">
        <v>401</v>
      </c>
      <c r="B875" s="38" t="s">
        <v>120</v>
      </c>
      <c r="C875" s="39" t="s">
        <v>355</v>
      </c>
      <c r="D875" s="37"/>
      <c r="E875" s="40">
        <f>E876</f>
        <v>335909.50000000006</v>
      </c>
      <c r="F875" s="40"/>
    </row>
    <row r="876" spans="1:6" s="1" customFormat="1" ht="32.25" customHeight="1">
      <c r="A876" s="36" t="s">
        <v>339</v>
      </c>
      <c r="B876" s="38" t="s">
        <v>120</v>
      </c>
      <c r="C876" s="39" t="s">
        <v>355</v>
      </c>
      <c r="D876" s="37" t="s">
        <v>338</v>
      </c>
      <c r="E876" s="40">
        <f>E877</f>
        <v>335909.50000000006</v>
      </c>
      <c r="F876" s="57"/>
    </row>
    <row r="877" spans="1:6" s="1" customFormat="1" ht="27" customHeight="1">
      <c r="A877" s="42" t="s">
        <v>337</v>
      </c>
      <c r="B877" s="38" t="s">
        <v>120</v>
      </c>
      <c r="C877" s="39" t="s">
        <v>355</v>
      </c>
      <c r="D877" s="37" t="s">
        <v>336</v>
      </c>
      <c r="E877" s="40">
        <f>341377-300+8-0.1+10221.2+150-10000-8000+2843.5+3317.5-3707.6+41187-41187</f>
        <v>335909.50000000006</v>
      </c>
      <c r="F877" s="40"/>
    </row>
    <row r="878" spans="1:6" s="1" customFormat="1" ht="25.5" customHeight="1">
      <c r="A878" s="43" t="s">
        <v>398</v>
      </c>
      <c r="B878" s="38" t="s">
        <v>120</v>
      </c>
      <c r="C878" s="10" t="s">
        <v>356</v>
      </c>
      <c r="D878" s="69"/>
      <c r="E878" s="40">
        <f>E884+E879+E881</f>
        <v>3403.2000000000003</v>
      </c>
      <c r="F878" s="57"/>
    </row>
    <row r="879" spans="1:6" s="1" customFormat="1" ht="24" customHeight="1">
      <c r="A879" s="46" t="s">
        <v>174</v>
      </c>
      <c r="B879" s="38" t="s">
        <v>120</v>
      </c>
      <c r="C879" s="10" t="s">
        <v>356</v>
      </c>
      <c r="D879" s="37" t="s">
        <v>173</v>
      </c>
      <c r="E879" s="40">
        <f>E880</f>
        <v>153.79999999999998</v>
      </c>
      <c r="F879" s="57"/>
    </row>
    <row r="880" spans="1:6" s="1" customFormat="1" ht="30" customHeight="1">
      <c r="A880" s="46" t="s">
        <v>176</v>
      </c>
      <c r="B880" s="38" t="s">
        <v>120</v>
      </c>
      <c r="C880" s="10" t="s">
        <v>356</v>
      </c>
      <c r="D880" s="37" t="s">
        <v>175</v>
      </c>
      <c r="E880" s="40">
        <f>153.2+0.6</f>
        <v>153.79999999999998</v>
      </c>
      <c r="F880" s="57"/>
    </row>
    <row r="881" spans="1:6" s="1" customFormat="1" ht="26.25" customHeight="1">
      <c r="A881" s="46" t="s">
        <v>42</v>
      </c>
      <c r="B881" s="38" t="s">
        <v>120</v>
      </c>
      <c r="C881" s="10" t="s">
        <v>356</v>
      </c>
      <c r="D881" s="37" t="s">
        <v>347</v>
      </c>
      <c r="E881" s="40">
        <f>E882+E883</f>
        <v>153.8</v>
      </c>
      <c r="F881" s="57"/>
    </row>
    <row r="882" spans="1:6" s="1" customFormat="1" ht="25.5" customHeight="1">
      <c r="A882" s="46" t="s">
        <v>780</v>
      </c>
      <c r="B882" s="38" t="s">
        <v>120</v>
      </c>
      <c r="C882" s="10" t="s">
        <v>356</v>
      </c>
      <c r="D882" s="37" t="s">
        <v>778</v>
      </c>
      <c r="E882" s="40">
        <v>36</v>
      </c>
      <c r="F882" s="57"/>
    </row>
    <row r="883" spans="1:6" s="1" customFormat="1" ht="27" customHeight="1">
      <c r="A883" s="46" t="s">
        <v>781</v>
      </c>
      <c r="B883" s="38" t="s">
        <v>120</v>
      </c>
      <c r="C883" s="10" t="s">
        <v>356</v>
      </c>
      <c r="D883" s="37" t="s">
        <v>779</v>
      </c>
      <c r="E883" s="40">
        <v>117.8</v>
      </c>
      <c r="F883" s="57"/>
    </row>
    <row r="884" spans="1:6" s="1" customFormat="1" ht="32.25" customHeight="1">
      <c r="A884" s="36" t="s">
        <v>339</v>
      </c>
      <c r="B884" s="38" t="s">
        <v>120</v>
      </c>
      <c r="C884" s="10" t="s">
        <v>356</v>
      </c>
      <c r="D884" s="37" t="s">
        <v>338</v>
      </c>
      <c r="E884" s="40">
        <f>E885+E886</f>
        <v>3095.6</v>
      </c>
      <c r="F884" s="57"/>
    </row>
    <row r="885" spans="1:6" s="1" customFormat="1" ht="24.75" customHeight="1">
      <c r="A885" s="43" t="s">
        <v>337</v>
      </c>
      <c r="B885" s="38" t="s">
        <v>120</v>
      </c>
      <c r="C885" s="10" t="s">
        <v>356</v>
      </c>
      <c r="D885" s="37" t="s">
        <v>336</v>
      </c>
      <c r="E885" s="40">
        <f>4283.5-1000-153.2-15+78.6-0.6-153.8</f>
        <v>3039.5</v>
      </c>
      <c r="F885" s="57"/>
    </row>
    <row r="886" spans="1:6" s="1" customFormat="1" ht="32.25" customHeight="1">
      <c r="A886" s="73" t="s">
        <v>47</v>
      </c>
      <c r="B886" s="38" t="s">
        <v>120</v>
      </c>
      <c r="C886" s="10" t="s">
        <v>356</v>
      </c>
      <c r="D886" s="37" t="s">
        <v>83</v>
      </c>
      <c r="E886" s="40">
        <f>56.1</f>
        <v>56.1</v>
      </c>
      <c r="F886" s="57"/>
    </row>
    <row r="887" spans="1:6" s="1" customFormat="1" ht="24" customHeight="1">
      <c r="A887" s="42" t="s">
        <v>394</v>
      </c>
      <c r="B887" s="38" t="s">
        <v>120</v>
      </c>
      <c r="C887" s="39" t="s">
        <v>357</v>
      </c>
      <c r="D887" s="37"/>
      <c r="E887" s="40">
        <f>E888</f>
        <v>104816.79999999999</v>
      </c>
      <c r="F887" s="40"/>
    </row>
    <row r="888" spans="1:6" s="1" customFormat="1" ht="32.25" customHeight="1">
      <c r="A888" s="36" t="s">
        <v>339</v>
      </c>
      <c r="B888" s="38" t="s">
        <v>120</v>
      </c>
      <c r="C888" s="10" t="s">
        <v>357</v>
      </c>
      <c r="D888" s="37" t="s">
        <v>338</v>
      </c>
      <c r="E888" s="40">
        <f>E889</f>
        <v>104816.79999999999</v>
      </c>
      <c r="F888" s="57"/>
    </row>
    <row r="889" spans="1:6" s="1" customFormat="1" ht="22.5" customHeight="1">
      <c r="A889" s="43" t="s">
        <v>337</v>
      </c>
      <c r="B889" s="38" t="s">
        <v>120</v>
      </c>
      <c r="C889" s="10" t="s">
        <v>357</v>
      </c>
      <c r="D889" s="37" t="s">
        <v>336</v>
      </c>
      <c r="E889" s="40">
        <f>100800-200+174.2-2456.6-4167+82+1074.7-1000+3000+4000+300+1902+721.5-20.5-22+628.5</f>
        <v>104816.79999999999</v>
      </c>
      <c r="F889" s="57"/>
    </row>
    <row r="890" spans="1:6" s="1" customFormat="1" ht="49.5" customHeight="1">
      <c r="A890" s="42" t="s">
        <v>633</v>
      </c>
      <c r="B890" s="38" t="s">
        <v>120</v>
      </c>
      <c r="C890" s="39" t="s">
        <v>732</v>
      </c>
      <c r="D890" s="37"/>
      <c r="E890" s="44">
        <f>E891</f>
        <v>239364.3</v>
      </c>
      <c r="F890" s="44">
        <f>F891</f>
        <v>0</v>
      </c>
    </row>
    <row r="891" spans="1:6" s="1" customFormat="1" ht="33" customHeight="1">
      <c r="A891" s="46" t="s">
        <v>325</v>
      </c>
      <c r="B891" s="38" t="s">
        <v>120</v>
      </c>
      <c r="C891" s="39" t="s">
        <v>732</v>
      </c>
      <c r="D891" s="37" t="s">
        <v>392</v>
      </c>
      <c r="E891" s="44">
        <f>E892</f>
        <v>239364.3</v>
      </c>
      <c r="F891" s="44">
        <f>F892</f>
        <v>0</v>
      </c>
    </row>
    <row r="892" spans="1:6" s="1" customFormat="1" ht="105.75" customHeight="1">
      <c r="A892" s="42" t="s">
        <v>7</v>
      </c>
      <c r="B892" s="38" t="s">
        <v>120</v>
      </c>
      <c r="C892" s="39" t="s">
        <v>732</v>
      </c>
      <c r="D892" s="37" t="s">
        <v>6</v>
      </c>
      <c r="E892" s="44">
        <f>239364.3-19000+19000</f>
        <v>239364.3</v>
      </c>
      <c r="F892" s="44"/>
    </row>
    <row r="893" spans="1:6" s="1" customFormat="1" ht="45.75" customHeight="1">
      <c r="A893" s="42" t="s">
        <v>632</v>
      </c>
      <c r="B893" s="38" t="s">
        <v>120</v>
      </c>
      <c r="C893" s="39" t="s">
        <v>732</v>
      </c>
      <c r="D893" s="37"/>
      <c r="E893" s="44">
        <f>E894</f>
        <v>522</v>
      </c>
      <c r="F893" s="44">
        <f>F894</f>
        <v>0</v>
      </c>
    </row>
    <row r="894" spans="1:6" s="1" customFormat="1" ht="32.25" customHeight="1">
      <c r="A894" s="46" t="s">
        <v>325</v>
      </c>
      <c r="B894" s="38" t="s">
        <v>120</v>
      </c>
      <c r="C894" s="39" t="s">
        <v>732</v>
      </c>
      <c r="D894" s="37" t="s">
        <v>392</v>
      </c>
      <c r="E894" s="44">
        <f>E895</f>
        <v>522</v>
      </c>
      <c r="F894" s="44">
        <f>F895</f>
        <v>0</v>
      </c>
    </row>
    <row r="895" spans="1:6" s="1" customFormat="1" ht="107.25" customHeight="1">
      <c r="A895" s="42" t="s">
        <v>7</v>
      </c>
      <c r="B895" s="38" t="s">
        <v>120</v>
      </c>
      <c r="C895" s="39" t="s">
        <v>732</v>
      </c>
      <c r="D895" s="37" t="s">
        <v>6</v>
      </c>
      <c r="E895" s="44">
        <f>13471.2-8471.2-4500+22</f>
        <v>522</v>
      </c>
      <c r="F895" s="44"/>
    </row>
    <row r="896" spans="1:6" s="1" customFormat="1" ht="50.25" customHeight="1">
      <c r="A896" s="42" t="s">
        <v>724</v>
      </c>
      <c r="B896" s="38" t="s">
        <v>120</v>
      </c>
      <c r="C896" s="39" t="s">
        <v>734</v>
      </c>
      <c r="D896" s="37"/>
      <c r="E896" s="44">
        <f>E897</f>
        <v>27.8</v>
      </c>
      <c r="F896" s="44">
        <f>F897</f>
        <v>0</v>
      </c>
    </row>
    <row r="897" spans="1:6" s="1" customFormat="1" ht="36" customHeight="1">
      <c r="A897" s="46" t="s">
        <v>325</v>
      </c>
      <c r="B897" s="38" t="s">
        <v>120</v>
      </c>
      <c r="C897" s="39" t="s">
        <v>734</v>
      </c>
      <c r="D897" s="37" t="s">
        <v>392</v>
      </c>
      <c r="E897" s="44">
        <f>E898</f>
        <v>27.8</v>
      </c>
      <c r="F897" s="44">
        <f>F898</f>
        <v>0</v>
      </c>
    </row>
    <row r="898" spans="1:6" s="1" customFormat="1" ht="105.75" customHeight="1">
      <c r="A898" s="42" t="s">
        <v>7</v>
      </c>
      <c r="B898" s="38" t="s">
        <v>120</v>
      </c>
      <c r="C898" s="39" t="s">
        <v>734</v>
      </c>
      <c r="D898" s="37" t="s">
        <v>6</v>
      </c>
      <c r="E898" s="44">
        <v>27.8</v>
      </c>
      <c r="F898" s="44"/>
    </row>
    <row r="899" spans="1:6" s="1" customFormat="1" ht="31.5" customHeight="1">
      <c r="A899" s="42" t="s">
        <v>505</v>
      </c>
      <c r="B899" s="38" t="s">
        <v>120</v>
      </c>
      <c r="C899" s="39" t="s">
        <v>733</v>
      </c>
      <c r="D899" s="37"/>
      <c r="E899" s="44">
        <f>E900</f>
        <v>950</v>
      </c>
      <c r="F899" s="44"/>
    </row>
    <row r="900" spans="1:6" s="1" customFormat="1" ht="28.5" customHeight="1">
      <c r="A900" s="46" t="s">
        <v>325</v>
      </c>
      <c r="B900" s="38" t="s">
        <v>120</v>
      </c>
      <c r="C900" s="39" t="s">
        <v>733</v>
      </c>
      <c r="D900" s="37" t="s">
        <v>392</v>
      </c>
      <c r="E900" s="44">
        <f>E901</f>
        <v>950</v>
      </c>
      <c r="F900" s="44">
        <f>F901</f>
        <v>0</v>
      </c>
    </row>
    <row r="901" spans="1:6" s="1" customFormat="1" ht="105.75" customHeight="1">
      <c r="A901" s="42" t="s">
        <v>7</v>
      </c>
      <c r="B901" s="38" t="s">
        <v>120</v>
      </c>
      <c r="C901" s="39" t="s">
        <v>733</v>
      </c>
      <c r="D901" s="37" t="s">
        <v>6</v>
      </c>
      <c r="E901" s="44">
        <f>2500-1750+200</f>
        <v>950</v>
      </c>
      <c r="F901" s="44"/>
    </row>
    <row r="902" spans="1:6" s="1" customFormat="1" ht="21" customHeight="1">
      <c r="A902" s="80" t="s">
        <v>247</v>
      </c>
      <c r="B902" s="38" t="s">
        <v>120</v>
      </c>
      <c r="C902" s="39" t="s">
        <v>367</v>
      </c>
      <c r="D902" s="37"/>
      <c r="E902" s="40">
        <f>E903</f>
        <v>1225.1</v>
      </c>
      <c r="F902" s="40">
        <f>F903</f>
        <v>0</v>
      </c>
    </row>
    <row r="903" spans="1:6" s="1" customFormat="1" ht="30" customHeight="1">
      <c r="A903" s="80" t="s">
        <v>441</v>
      </c>
      <c r="B903" s="38" t="s">
        <v>120</v>
      </c>
      <c r="C903" s="10" t="s">
        <v>368</v>
      </c>
      <c r="D903" s="38"/>
      <c r="E903" s="40">
        <f>E904</f>
        <v>1225.1</v>
      </c>
      <c r="F903" s="40"/>
    </row>
    <row r="904" spans="1:6" s="1" customFormat="1" ht="32.25" customHeight="1">
      <c r="A904" s="41" t="s">
        <v>339</v>
      </c>
      <c r="B904" s="38" t="s">
        <v>120</v>
      </c>
      <c r="C904" s="10" t="s">
        <v>368</v>
      </c>
      <c r="D904" s="38" t="s">
        <v>338</v>
      </c>
      <c r="E904" s="57">
        <f>E905</f>
        <v>1225.1</v>
      </c>
      <c r="F904" s="44"/>
    </row>
    <row r="905" spans="1:6" s="1" customFormat="1" ht="24" customHeight="1">
      <c r="A905" s="43" t="s">
        <v>337</v>
      </c>
      <c r="B905" s="38" t="s">
        <v>120</v>
      </c>
      <c r="C905" s="10" t="s">
        <v>368</v>
      </c>
      <c r="D905" s="38" t="s">
        <v>336</v>
      </c>
      <c r="E905" s="57">
        <f>1000+225.1</f>
        <v>1225.1</v>
      </c>
      <c r="F905" s="44"/>
    </row>
    <row r="906" spans="1:6" s="1" customFormat="1" ht="31.5" customHeight="1">
      <c r="A906" s="52" t="s">
        <v>272</v>
      </c>
      <c r="B906" s="38" t="s">
        <v>120</v>
      </c>
      <c r="C906" s="47" t="s">
        <v>369</v>
      </c>
      <c r="D906" s="47"/>
      <c r="E906" s="50">
        <f>E907</f>
        <v>1000</v>
      </c>
      <c r="F906" s="44"/>
    </row>
    <row r="907" spans="1:6" s="1" customFormat="1" ht="47.25" customHeight="1">
      <c r="A907" s="68" t="s">
        <v>345</v>
      </c>
      <c r="B907" s="38" t="s">
        <v>120</v>
      </c>
      <c r="C907" s="47" t="s">
        <v>370</v>
      </c>
      <c r="D907" s="47"/>
      <c r="E907" s="50">
        <f>E908</f>
        <v>1000</v>
      </c>
      <c r="F907" s="44"/>
    </row>
    <row r="908" spans="1:6" s="1" customFormat="1" ht="30.75" customHeight="1">
      <c r="A908" s="52" t="s">
        <v>256</v>
      </c>
      <c r="B908" s="38" t="s">
        <v>120</v>
      </c>
      <c r="C908" s="47" t="s">
        <v>236</v>
      </c>
      <c r="D908" s="47"/>
      <c r="E908" s="50">
        <f>E909</f>
        <v>1000</v>
      </c>
      <c r="F908" s="44"/>
    </row>
    <row r="909" spans="1:6" s="1" customFormat="1" ht="29.25" customHeight="1">
      <c r="A909" s="41" t="s">
        <v>339</v>
      </c>
      <c r="B909" s="38" t="s">
        <v>120</v>
      </c>
      <c r="C909" s="47" t="s">
        <v>236</v>
      </c>
      <c r="D909" s="47" t="s">
        <v>338</v>
      </c>
      <c r="E909" s="50">
        <f>E910</f>
        <v>1000</v>
      </c>
      <c r="F909" s="44"/>
    </row>
    <row r="910" spans="1:6" s="1" customFormat="1" ht="24" customHeight="1">
      <c r="A910" s="43" t="s">
        <v>337</v>
      </c>
      <c r="B910" s="38" t="s">
        <v>120</v>
      </c>
      <c r="C910" s="47" t="s">
        <v>236</v>
      </c>
      <c r="D910" s="47" t="s">
        <v>336</v>
      </c>
      <c r="E910" s="50">
        <f>1000</f>
        <v>1000</v>
      </c>
      <c r="F910" s="44"/>
    </row>
    <row r="911" spans="1:8" s="1" customFormat="1" ht="24" customHeight="1">
      <c r="A911" s="59" t="s">
        <v>209</v>
      </c>
      <c r="B911" s="99" t="s">
        <v>208</v>
      </c>
      <c r="C911" s="10"/>
      <c r="D911" s="69"/>
      <c r="E911" s="50">
        <f>E912</f>
        <v>449214.5</v>
      </c>
      <c r="F911" s="50">
        <f>F912</f>
        <v>16620</v>
      </c>
      <c r="H911" s="100"/>
    </row>
    <row r="912" spans="1:6" s="1" customFormat="1" ht="23.25" customHeight="1">
      <c r="A912" s="104" t="s">
        <v>101</v>
      </c>
      <c r="B912" s="38" t="s">
        <v>208</v>
      </c>
      <c r="C912" s="10"/>
      <c r="D912" s="74"/>
      <c r="E912" s="76">
        <f>E913+E933</f>
        <v>449214.5</v>
      </c>
      <c r="F912" s="76">
        <f>F913+F933</f>
        <v>16620</v>
      </c>
    </row>
    <row r="913" spans="1:6" s="1" customFormat="1" ht="45.75" customHeight="1">
      <c r="A913" s="52" t="s">
        <v>266</v>
      </c>
      <c r="B913" s="38" t="s">
        <v>208</v>
      </c>
      <c r="C913" s="10" t="s">
        <v>135</v>
      </c>
      <c r="D913" s="37"/>
      <c r="E913" s="77">
        <f>E914</f>
        <v>185648.00000000003</v>
      </c>
      <c r="F913" s="77">
        <f>F914</f>
        <v>2360</v>
      </c>
    </row>
    <row r="914" spans="1:6" s="1" customFormat="1" ht="33.75" customHeight="1">
      <c r="A914" s="60" t="s">
        <v>286</v>
      </c>
      <c r="B914" s="38" t="s">
        <v>208</v>
      </c>
      <c r="C914" s="39" t="s">
        <v>358</v>
      </c>
      <c r="D914" s="37"/>
      <c r="E914" s="76">
        <f>E921+E924+E927+E915+E918+E930</f>
        <v>185648.00000000003</v>
      </c>
      <c r="F914" s="76">
        <f>F921+F924+F927+F915+F918</f>
        <v>2360</v>
      </c>
    </row>
    <row r="915" spans="1:6" s="1" customFormat="1" ht="47.25" customHeight="1">
      <c r="A915" s="51" t="s">
        <v>636</v>
      </c>
      <c r="B915" s="38" t="s">
        <v>208</v>
      </c>
      <c r="C915" s="39" t="s">
        <v>661</v>
      </c>
      <c r="D915" s="37"/>
      <c r="E915" s="44">
        <f>E916</f>
        <v>1560</v>
      </c>
      <c r="F915" s="44">
        <f>F916</f>
        <v>1560</v>
      </c>
    </row>
    <row r="916" spans="1:6" s="1" customFormat="1" ht="31.5" customHeight="1">
      <c r="A916" s="60" t="s">
        <v>339</v>
      </c>
      <c r="B916" s="38" t="s">
        <v>208</v>
      </c>
      <c r="C916" s="39" t="s">
        <v>661</v>
      </c>
      <c r="D916" s="37" t="s">
        <v>338</v>
      </c>
      <c r="E916" s="44">
        <f>E917</f>
        <v>1560</v>
      </c>
      <c r="F916" s="44">
        <f>F917</f>
        <v>1560</v>
      </c>
    </row>
    <row r="917" spans="1:6" s="1" customFormat="1" ht="19.5" customHeight="1">
      <c r="A917" s="60" t="s">
        <v>337</v>
      </c>
      <c r="B917" s="38" t="s">
        <v>208</v>
      </c>
      <c r="C917" s="39" t="s">
        <v>661</v>
      </c>
      <c r="D917" s="37" t="s">
        <v>336</v>
      </c>
      <c r="E917" s="44">
        <f>600+800+160</f>
        <v>1560</v>
      </c>
      <c r="F917" s="44">
        <f>E917</f>
        <v>1560</v>
      </c>
    </row>
    <row r="918" spans="1:6" s="1" customFormat="1" ht="75.75" customHeight="1">
      <c r="A918" s="43" t="s">
        <v>713</v>
      </c>
      <c r="B918" s="38" t="s">
        <v>208</v>
      </c>
      <c r="C918" s="39" t="s">
        <v>707</v>
      </c>
      <c r="D918" s="37"/>
      <c r="E918" s="44">
        <f>E919</f>
        <v>880</v>
      </c>
      <c r="F918" s="44">
        <f>F919</f>
        <v>800</v>
      </c>
    </row>
    <row r="919" spans="1:6" s="1" customFormat="1" ht="27.75" customHeight="1">
      <c r="A919" s="60" t="s">
        <v>339</v>
      </c>
      <c r="B919" s="38" t="s">
        <v>208</v>
      </c>
      <c r="C919" s="39" t="s">
        <v>707</v>
      </c>
      <c r="D919" s="37" t="s">
        <v>338</v>
      </c>
      <c r="E919" s="44">
        <f>E920</f>
        <v>880</v>
      </c>
      <c r="F919" s="44">
        <f>F920</f>
        <v>800</v>
      </c>
    </row>
    <row r="920" spans="1:6" s="1" customFormat="1" ht="19.5" customHeight="1">
      <c r="A920" s="42" t="s">
        <v>337</v>
      </c>
      <c r="B920" s="38" t="s">
        <v>208</v>
      </c>
      <c r="C920" s="39" t="s">
        <v>707</v>
      </c>
      <c r="D920" s="37" t="s">
        <v>336</v>
      </c>
      <c r="E920" s="44">
        <f>800+80</f>
        <v>880</v>
      </c>
      <c r="F920" s="44">
        <v>800</v>
      </c>
    </row>
    <row r="921" spans="1:6" s="1" customFormat="1" ht="30.75" customHeight="1">
      <c r="A921" s="43" t="s">
        <v>405</v>
      </c>
      <c r="B921" s="38" t="s">
        <v>208</v>
      </c>
      <c r="C921" s="10" t="s">
        <v>359</v>
      </c>
      <c r="D921" s="78"/>
      <c r="E921" s="79">
        <f>E922</f>
        <v>166040.40000000002</v>
      </c>
      <c r="F921" s="44"/>
    </row>
    <row r="922" spans="1:6" s="1" customFormat="1" ht="30" customHeight="1">
      <c r="A922" s="60" t="s">
        <v>339</v>
      </c>
      <c r="B922" s="38" t="s">
        <v>208</v>
      </c>
      <c r="C922" s="10" t="s">
        <v>359</v>
      </c>
      <c r="D922" s="39" t="s">
        <v>338</v>
      </c>
      <c r="E922" s="40">
        <f>E923</f>
        <v>166040.40000000002</v>
      </c>
      <c r="F922" s="44"/>
    </row>
    <row r="923" spans="1:6" s="1" customFormat="1" ht="21.75" customHeight="1">
      <c r="A923" s="43" t="s">
        <v>337</v>
      </c>
      <c r="B923" s="38" t="s">
        <v>208</v>
      </c>
      <c r="C923" s="10" t="s">
        <v>359</v>
      </c>
      <c r="D923" s="78" t="s">
        <v>336</v>
      </c>
      <c r="E923" s="79">
        <f>151741.6+0.1-876-41475+10000+8000+149.7+15100+23400</f>
        <v>166040.40000000002</v>
      </c>
      <c r="F923" s="44"/>
    </row>
    <row r="924" spans="1:6" s="1" customFormat="1" ht="21.75" customHeight="1">
      <c r="A924" s="42" t="s">
        <v>398</v>
      </c>
      <c r="B924" s="38" t="s">
        <v>208</v>
      </c>
      <c r="C924" s="39" t="s">
        <v>360</v>
      </c>
      <c r="D924" s="39"/>
      <c r="E924" s="40">
        <f>E925</f>
        <v>2236.1</v>
      </c>
      <c r="F924" s="44"/>
    </row>
    <row r="925" spans="1:6" s="1" customFormat="1" ht="33" customHeight="1">
      <c r="A925" s="60" t="s">
        <v>339</v>
      </c>
      <c r="B925" s="38" t="s">
        <v>208</v>
      </c>
      <c r="C925" s="10" t="s">
        <v>360</v>
      </c>
      <c r="D925" s="39" t="s">
        <v>338</v>
      </c>
      <c r="E925" s="40">
        <f>E926</f>
        <v>2236.1</v>
      </c>
      <c r="F925" s="44"/>
    </row>
    <row r="926" spans="1:6" s="1" customFormat="1" ht="21.75" customHeight="1">
      <c r="A926" s="43" t="s">
        <v>337</v>
      </c>
      <c r="B926" s="38" t="s">
        <v>208</v>
      </c>
      <c r="C926" s="10" t="s">
        <v>360</v>
      </c>
      <c r="D926" s="78" t="s">
        <v>336</v>
      </c>
      <c r="E926" s="40">
        <f>1236.1+1000</f>
        <v>2236.1</v>
      </c>
      <c r="F926" s="45"/>
    </row>
    <row r="927" spans="1:6" s="1" customFormat="1" ht="21.75" customHeight="1">
      <c r="A927" s="42" t="s">
        <v>394</v>
      </c>
      <c r="B927" s="38" t="s">
        <v>208</v>
      </c>
      <c r="C927" s="39" t="s">
        <v>361</v>
      </c>
      <c r="D927" s="39"/>
      <c r="E927" s="40">
        <f>E928</f>
        <v>11956.5</v>
      </c>
      <c r="F927" s="44"/>
    </row>
    <row r="928" spans="1:6" s="1" customFormat="1" ht="30" customHeight="1">
      <c r="A928" s="36" t="s">
        <v>339</v>
      </c>
      <c r="B928" s="38" t="s">
        <v>208</v>
      </c>
      <c r="C928" s="39" t="s">
        <v>361</v>
      </c>
      <c r="D928" s="78" t="s">
        <v>338</v>
      </c>
      <c r="E928" s="40">
        <f>E929</f>
        <v>11956.5</v>
      </c>
      <c r="F928" s="45"/>
    </row>
    <row r="929" spans="1:6" s="1" customFormat="1" ht="19.5" customHeight="1">
      <c r="A929" s="42" t="s">
        <v>337</v>
      </c>
      <c r="B929" s="38" t="s">
        <v>208</v>
      </c>
      <c r="C929" s="39" t="s">
        <v>361</v>
      </c>
      <c r="D929" s="39" t="s">
        <v>336</v>
      </c>
      <c r="E929" s="40">
        <f>5740+5000-2000+21.5-80+3275</f>
        <v>11956.5</v>
      </c>
      <c r="F929" s="44"/>
    </row>
    <row r="930" spans="1:6" s="1" customFormat="1" ht="45" customHeight="1">
      <c r="A930" s="43" t="s">
        <v>715</v>
      </c>
      <c r="B930" s="38" t="s">
        <v>208</v>
      </c>
      <c r="C930" s="39" t="s">
        <v>716</v>
      </c>
      <c r="D930" s="39"/>
      <c r="E930" s="40">
        <f>E931</f>
        <v>2975</v>
      </c>
      <c r="F930" s="45"/>
    </row>
    <row r="931" spans="1:6" s="1" customFormat="1" ht="31.5" customHeight="1">
      <c r="A931" s="36" t="s">
        <v>339</v>
      </c>
      <c r="B931" s="38" t="s">
        <v>208</v>
      </c>
      <c r="C931" s="39" t="s">
        <v>716</v>
      </c>
      <c r="D931" s="78" t="s">
        <v>338</v>
      </c>
      <c r="E931" s="40">
        <f>E932</f>
        <v>2975</v>
      </c>
      <c r="F931" s="45"/>
    </row>
    <row r="932" spans="1:6" s="1" customFormat="1" ht="21.75" customHeight="1">
      <c r="A932" s="42" t="s">
        <v>337</v>
      </c>
      <c r="B932" s="38" t="s">
        <v>208</v>
      </c>
      <c r="C932" s="39" t="s">
        <v>716</v>
      </c>
      <c r="D932" s="37" t="s">
        <v>336</v>
      </c>
      <c r="E932" s="40">
        <f>47362-15100-5887-23400</f>
        <v>2975</v>
      </c>
      <c r="F932" s="45"/>
    </row>
    <row r="933" spans="1:8" s="1" customFormat="1" ht="30.75" customHeight="1">
      <c r="A933" s="36" t="s">
        <v>273</v>
      </c>
      <c r="B933" s="38" t="s">
        <v>208</v>
      </c>
      <c r="C933" s="10" t="s">
        <v>362</v>
      </c>
      <c r="D933" s="38"/>
      <c r="E933" s="45">
        <f>E934</f>
        <v>263566.5</v>
      </c>
      <c r="F933" s="45">
        <f>F934</f>
        <v>14260</v>
      </c>
      <c r="H933" s="100"/>
    </row>
    <row r="934" spans="1:8" s="1" customFormat="1" ht="34.5" customHeight="1">
      <c r="A934" s="43" t="s">
        <v>315</v>
      </c>
      <c r="B934" s="38" t="s">
        <v>208</v>
      </c>
      <c r="C934" s="10" t="s">
        <v>363</v>
      </c>
      <c r="D934" s="38"/>
      <c r="E934" s="45">
        <f>E944+E947+E938+E941+E935+E950</f>
        <v>263566.5</v>
      </c>
      <c r="F934" s="45">
        <f>F944+F947+F938+F941+F935</f>
        <v>14260</v>
      </c>
      <c r="H934" s="100"/>
    </row>
    <row r="935" spans="1:8" s="1" customFormat="1" ht="48" customHeight="1">
      <c r="A935" s="51" t="s">
        <v>636</v>
      </c>
      <c r="B935" s="38" t="s">
        <v>208</v>
      </c>
      <c r="C935" s="39" t="s">
        <v>678</v>
      </c>
      <c r="D935" s="37"/>
      <c r="E935" s="44">
        <f>E936</f>
        <v>320</v>
      </c>
      <c r="F935" s="44">
        <f>F936</f>
        <v>320</v>
      </c>
      <c r="H935" s="100"/>
    </row>
    <row r="936" spans="1:8" s="1" customFormat="1" ht="29.25" customHeight="1">
      <c r="A936" s="60" t="s">
        <v>339</v>
      </c>
      <c r="B936" s="38" t="s">
        <v>208</v>
      </c>
      <c r="C936" s="39" t="s">
        <v>678</v>
      </c>
      <c r="D936" s="37" t="s">
        <v>338</v>
      </c>
      <c r="E936" s="44">
        <f>E937</f>
        <v>320</v>
      </c>
      <c r="F936" s="44">
        <f>F937</f>
        <v>320</v>
      </c>
      <c r="H936" s="100"/>
    </row>
    <row r="937" spans="1:8" s="1" customFormat="1" ht="18.75" customHeight="1">
      <c r="A937" s="60" t="s">
        <v>337</v>
      </c>
      <c r="B937" s="38" t="s">
        <v>208</v>
      </c>
      <c r="C937" s="39" t="s">
        <v>678</v>
      </c>
      <c r="D937" s="37" t="s">
        <v>336</v>
      </c>
      <c r="E937" s="44">
        <f>170+150</f>
        <v>320</v>
      </c>
      <c r="F937" s="44">
        <f>E937</f>
        <v>320</v>
      </c>
      <c r="H937" s="100"/>
    </row>
    <row r="938" spans="1:6" s="1" customFormat="1" ht="60" customHeight="1">
      <c r="A938" s="43" t="s">
        <v>535</v>
      </c>
      <c r="B938" s="38" t="s">
        <v>208</v>
      </c>
      <c r="C938" s="10" t="s">
        <v>729</v>
      </c>
      <c r="D938" s="37"/>
      <c r="E938" s="45">
        <f>E939</f>
        <v>13940</v>
      </c>
      <c r="F938" s="45">
        <f>F939</f>
        <v>13940</v>
      </c>
    </row>
    <row r="939" spans="1:6" s="1" customFormat="1" ht="34.5" customHeight="1">
      <c r="A939" s="36" t="s">
        <v>339</v>
      </c>
      <c r="B939" s="38" t="s">
        <v>208</v>
      </c>
      <c r="C939" s="10" t="s">
        <v>729</v>
      </c>
      <c r="D939" s="78" t="s">
        <v>338</v>
      </c>
      <c r="E939" s="45">
        <f>E940</f>
        <v>13940</v>
      </c>
      <c r="F939" s="45">
        <f>F940</f>
        <v>13940</v>
      </c>
    </row>
    <row r="940" spans="1:6" s="1" customFormat="1" ht="25.5" customHeight="1">
      <c r="A940" s="42" t="s">
        <v>337</v>
      </c>
      <c r="B940" s="38" t="s">
        <v>208</v>
      </c>
      <c r="C940" s="10" t="s">
        <v>729</v>
      </c>
      <c r="D940" s="39" t="s">
        <v>336</v>
      </c>
      <c r="E940" s="45">
        <f>13940</f>
        <v>13940</v>
      </c>
      <c r="F940" s="45">
        <f>E940</f>
        <v>13940</v>
      </c>
    </row>
    <row r="941" spans="1:6" s="1" customFormat="1" ht="62.25" customHeight="1">
      <c r="A941" s="43" t="s">
        <v>513</v>
      </c>
      <c r="B941" s="38" t="s">
        <v>208</v>
      </c>
      <c r="C941" s="10" t="s">
        <v>729</v>
      </c>
      <c r="D941" s="10"/>
      <c r="E941" s="45">
        <f>E942</f>
        <v>13940</v>
      </c>
      <c r="F941" s="45"/>
    </row>
    <row r="942" spans="1:6" s="1" customFormat="1" ht="31.5" customHeight="1">
      <c r="A942" s="36" t="s">
        <v>339</v>
      </c>
      <c r="B942" s="38" t="s">
        <v>208</v>
      </c>
      <c r="C942" s="10" t="s">
        <v>729</v>
      </c>
      <c r="D942" s="10" t="s">
        <v>338</v>
      </c>
      <c r="E942" s="45">
        <f>E943</f>
        <v>13940</v>
      </c>
      <c r="F942" s="45"/>
    </row>
    <row r="943" spans="1:6" s="1" customFormat="1" ht="24.75" customHeight="1">
      <c r="A943" s="42" t="s">
        <v>337</v>
      </c>
      <c r="B943" s="38" t="s">
        <v>208</v>
      </c>
      <c r="C943" s="10" t="s">
        <v>729</v>
      </c>
      <c r="D943" s="10" t="s">
        <v>336</v>
      </c>
      <c r="E943" s="45">
        <v>13940</v>
      </c>
      <c r="F943" s="45"/>
    </row>
    <row r="944" spans="1:6" s="1" customFormat="1" ht="34.5" customHeight="1">
      <c r="A944" s="43" t="s">
        <v>233</v>
      </c>
      <c r="B944" s="38" t="s">
        <v>208</v>
      </c>
      <c r="C944" s="10" t="s">
        <v>364</v>
      </c>
      <c r="D944" s="38"/>
      <c r="E944" s="45">
        <f>E945</f>
        <v>231641.5</v>
      </c>
      <c r="F944" s="45"/>
    </row>
    <row r="945" spans="1:6" s="1" customFormat="1" ht="31.5" customHeight="1">
      <c r="A945" s="36" t="s">
        <v>339</v>
      </c>
      <c r="B945" s="38" t="s">
        <v>208</v>
      </c>
      <c r="C945" s="10" t="s">
        <v>364</v>
      </c>
      <c r="D945" s="38" t="s">
        <v>338</v>
      </c>
      <c r="E945" s="45">
        <f>E946</f>
        <v>231641.5</v>
      </c>
      <c r="F945" s="44"/>
    </row>
    <row r="946" spans="1:6" s="1" customFormat="1" ht="20.25" customHeight="1">
      <c r="A946" s="43" t="s">
        <v>337</v>
      </c>
      <c r="B946" s="38" t="s">
        <v>208</v>
      </c>
      <c r="C946" s="10" t="s">
        <v>364</v>
      </c>
      <c r="D946" s="38" t="s">
        <v>336</v>
      </c>
      <c r="E946" s="45">
        <f>200666.8-5887+14000+149.7+2712+20000</f>
        <v>231641.5</v>
      </c>
      <c r="F946" s="44"/>
    </row>
    <row r="947" spans="1:6" s="1" customFormat="1" ht="20.25" customHeight="1">
      <c r="A947" s="43" t="s">
        <v>45</v>
      </c>
      <c r="B947" s="38" t="s">
        <v>208</v>
      </c>
      <c r="C947" s="10" t="s">
        <v>365</v>
      </c>
      <c r="D947" s="38"/>
      <c r="E947" s="45">
        <f>E948</f>
        <v>550</v>
      </c>
      <c r="F947" s="44"/>
    </row>
    <row r="948" spans="1:6" s="1" customFormat="1" ht="28.5" customHeight="1">
      <c r="A948" s="36" t="s">
        <v>339</v>
      </c>
      <c r="B948" s="38" t="s">
        <v>208</v>
      </c>
      <c r="C948" s="10" t="s">
        <v>365</v>
      </c>
      <c r="D948" s="38" t="s">
        <v>338</v>
      </c>
      <c r="E948" s="45">
        <f>E949</f>
        <v>550</v>
      </c>
      <c r="F948" s="44"/>
    </row>
    <row r="949" spans="1:6" s="1" customFormat="1" ht="20.25" customHeight="1">
      <c r="A949" s="43" t="s">
        <v>337</v>
      </c>
      <c r="B949" s="38" t="s">
        <v>208</v>
      </c>
      <c r="C949" s="10" t="s">
        <v>365</v>
      </c>
      <c r="D949" s="38" t="s">
        <v>336</v>
      </c>
      <c r="E949" s="45">
        <v>550</v>
      </c>
      <c r="F949" s="44"/>
    </row>
    <row r="950" spans="1:6" s="1" customFormat="1" ht="45.75" customHeight="1">
      <c r="A950" s="43" t="s">
        <v>715</v>
      </c>
      <c r="B950" s="38" t="s">
        <v>208</v>
      </c>
      <c r="C950" s="39" t="s">
        <v>750</v>
      </c>
      <c r="D950" s="39"/>
      <c r="E950" s="40">
        <f>E951</f>
        <v>3175</v>
      </c>
      <c r="F950" s="45"/>
    </row>
    <row r="951" spans="1:6" s="1" customFormat="1" ht="28.5" customHeight="1">
      <c r="A951" s="36" t="s">
        <v>339</v>
      </c>
      <c r="B951" s="38" t="s">
        <v>208</v>
      </c>
      <c r="C951" s="39" t="s">
        <v>750</v>
      </c>
      <c r="D951" s="78" t="s">
        <v>338</v>
      </c>
      <c r="E951" s="40">
        <f>E952</f>
        <v>3175</v>
      </c>
      <c r="F951" s="45"/>
    </row>
    <row r="952" spans="1:6" s="1" customFormat="1" ht="20.25" customHeight="1">
      <c r="A952" s="42" t="s">
        <v>337</v>
      </c>
      <c r="B952" s="38" t="s">
        <v>208</v>
      </c>
      <c r="C952" s="39" t="s">
        <v>750</v>
      </c>
      <c r="D952" s="37" t="s">
        <v>336</v>
      </c>
      <c r="E952" s="40">
        <v>3175</v>
      </c>
      <c r="F952" s="45"/>
    </row>
    <row r="953" spans="1:6" s="1" customFormat="1" ht="24" customHeight="1">
      <c r="A953" s="59" t="s">
        <v>210</v>
      </c>
      <c r="B953" s="63" t="s">
        <v>156</v>
      </c>
      <c r="C953" s="63"/>
      <c r="D953" s="63"/>
      <c r="E953" s="13">
        <f>E954</f>
        <v>1045</v>
      </c>
      <c r="F953" s="13">
        <f>F954</f>
        <v>1045</v>
      </c>
    </row>
    <row r="954" spans="1:6" s="1" customFormat="1" ht="108" customHeight="1">
      <c r="A954" s="43" t="s">
        <v>249</v>
      </c>
      <c r="B954" s="39" t="s">
        <v>156</v>
      </c>
      <c r="C954" s="10" t="s">
        <v>436</v>
      </c>
      <c r="D954" s="39"/>
      <c r="E954" s="40">
        <f>E956</f>
        <v>1045</v>
      </c>
      <c r="F954" s="40">
        <f>F956</f>
        <v>1045</v>
      </c>
    </row>
    <row r="955" spans="1:6" s="1" customFormat="1" ht="30.75" customHeight="1">
      <c r="A955" s="36" t="s">
        <v>339</v>
      </c>
      <c r="B955" s="39" t="s">
        <v>156</v>
      </c>
      <c r="C955" s="10" t="s">
        <v>436</v>
      </c>
      <c r="D955" s="39" t="s">
        <v>338</v>
      </c>
      <c r="E955" s="40">
        <f>E956</f>
        <v>1045</v>
      </c>
      <c r="F955" s="40">
        <f>F956</f>
        <v>1045</v>
      </c>
    </row>
    <row r="956" spans="1:6" s="1" customFormat="1" ht="28.5" customHeight="1">
      <c r="A956" s="67" t="s">
        <v>47</v>
      </c>
      <c r="B956" s="39" t="s">
        <v>156</v>
      </c>
      <c r="C956" s="10" t="s">
        <v>436</v>
      </c>
      <c r="D956" s="39" t="s">
        <v>83</v>
      </c>
      <c r="E956" s="40">
        <f>1045</f>
        <v>1045</v>
      </c>
      <c r="F956" s="40">
        <f>E956</f>
        <v>1045</v>
      </c>
    </row>
    <row r="957" spans="1:6" s="1" customFormat="1" ht="18" customHeight="1">
      <c r="A957" s="59" t="s">
        <v>211</v>
      </c>
      <c r="B957" s="63" t="s">
        <v>95</v>
      </c>
      <c r="C957" s="63"/>
      <c r="D957" s="63"/>
      <c r="E957" s="13">
        <f>E958</f>
        <v>13931</v>
      </c>
      <c r="F957" s="13">
        <f>F958</f>
        <v>500</v>
      </c>
    </row>
    <row r="958" spans="1:6" s="2" customFormat="1" ht="33.75" customHeight="1">
      <c r="A958" s="52" t="s">
        <v>272</v>
      </c>
      <c r="B958" s="47" t="s">
        <v>95</v>
      </c>
      <c r="C958" s="47" t="s">
        <v>369</v>
      </c>
      <c r="D958" s="47"/>
      <c r="E958" s="50">
        <f>E959</f>
        <v>13931</v>
      </c>
      <c r="F958" s="50">
        <f>F959</f>
        <v>500</v>
      </c>
    </row>
    <row r="959" spans="1:6" s="2" customFormat="1" ht="48" customHeight="1">
      <c r="A959" s="68" t="s">
        <v>345</v>
      </c>
      <c r="B959" s="47" t="s">
        <v>95</v>
      </c>
      <c r="C959" s="47" t="s">
        <v>370</v>
      </c>
      <c r="D959" s="47"/>
      <c r="E959" s="50">
        <f>E964+E966+E960</f>
        <v>13931</v>
      </c>
      <c r="F959" s="50">
        <f>F964+F966+F960</f>
        <v>500</v>
      </c>
    </row>
    <row r="960" spans="1:6" s="2" customFormat="1" ht="45" customHeight="1">
      <c r="A960" s="51" t="s">
        <v>636</v>
      </c>
      <c r="B960" s="38" t="s">
        <v>95</v>
      </c>
      <c r="C960" s="39" t="s">
        <v>721</v>
      </c>
      <c r="D960" s="37"/>
      <c r="E960" s="44">
        <f>E961</f>
        <v>500</v>
      </c>
      <c r="F960" s="44">
        <f>F961</f>
        <v>500</v>
      </c>
    </row>
    <row r="961" spans="1:6" s="2" customFormat="1" ht="39" customHeight="1">
      <c r="A961" s="60" t="s">
        <v>339</v>
      </c>
      <c r="B961" s="38" t="s">
        <v>95</v>
      </c>
      <c r="C961" s="39" t="s">
        <v>721</v>
      </c>
      <c r="D961" s="37" t="s">
        <v>338</v>
      </c>
      <c r="E961" s="44">
        <f>E962</f>
        <v>500</v>
      </c>
      <c r="F961" s="44">
        <f>F962</f>
        <v>500</v>
      </c>
    </row>
    <row r="962" spans="1:6" s="2" customFormat="1" ht="23.25" customHeight="1">
      <c r="A962" s="60" t="s">
        <v>337</v>
      </c>
      <c r="B962" s="38" t="s">
        <v>95</v>
      </c>
      <c r="C962" s="39" t="s">
        <v>721</v>
      </c>
      <c r="D962" s="37" t="s">
        <v>336</v>
      </c>
      <c r="E962" s="44">
        <v>500</v>
      </c>
      <c r="F962" s="44">
        <f>E962</f>
        <v>500</v>
      </c>
    </row>
    <row r="963" spans="1:6" s="2" customFormat="1" ht="20.25" customHeight="1">
      <c r="A963" s="52" t="s">
        <v>117</v>
      </c>
      <c r="B963" s="47" t="s">
        <v>95</v>
      </c>
      <c r="C963" s="47" t="s">
        <v>371</v>
      </c>
      <c r="D963" s="47"/>
      <c r="E963" s="50">
        <f>E964</f>
        <v>10183.1</v>
      </c>
      <c r="F963" s="50"/>
    </row>
    <row r="964" spans="1:6" s="2" customFormat="1" ht="30" customHeight="1">
      <c r="A964" s="36" t="s">
        <v>339</v>
      </c>
      <c r="B964" s="47" t="s">
        <v>95</v>
      </c>
      <c r="C964" s="47" t="s">
        <v>371</v>
      </c>
      <c r="D964" s="47" t="s">
        <v>338</v>
      </c>
      <c r="E964" s="50">
        <f>E965</f>
        <v>10183.1</v>
      </c>
      <c r="F964" s="50"/>
    </row>
    <row r="965" spans="1:6" s="2" customFormat="1" ht="21" customHeight="1">
      <c r="A965" s="46" t="s">
        <v>337</v>
      </c>
      <c r="B965" s="47" t="s">
        <v>95</v>
      </c>
      <c r="C965" s="47" t="s">
        <v>371</v>
      </c>
      <c r="D965" s="47" t="s">
        <v>336</v>
      </c>
      <c r="E965" s="50">
        <f>9483.1+700</f>
        <v>10183.1</v>
      </c>
      <c r="F965" s="50"/>
    </row>
    <row r="966" spans="1:6" s="2" customFormat="1" ht="30" customHeight="1">
      <c r="A966" s="52" t="s">
        <v>346</v>
      </c>
      <c r="B966" s="47" t="s">
        <v>95</v>
      </c>
      <c r="C966" s="47" t="s">
        <v>372</v>
      </c>
      <c r="D966" s="47"/>
      <c r="E966" s="50">
        <f>E967</f>
        <v>3247.9</v>
      </c>
      <c r="F966" s="50"/>
    </row>
    <row r="967" spans="1:6" s="2" customFormat="1" ht="30.75" customHeight="1">
      <c r="A967" s="60" t="s">
        <v>339</v>
      </c>
      <c r="B967" s="47" t="s">
        <v>95</v>
      </c>
      <c r="C967" s="47" t="s">
        <v>372</v>
      </c>
      <c r="D967" s="47" t="s">
        <v>338</v>
      </c>
      <c r="E967" s="50">
        <f>E968</f>
        <v>3247.9</v>
      </c>
      <c r="F967" s="50"/>
    </row>
    <row r="968" spans="1:6" s="2" customFormat="1" ht="22.5" customHeight="1">
      <c r="A968" s="58" t="s">
        <v>337</v>
      </c>
      <c r="B968" s="47" t="s">
        <v>95</v>
      </c>
      <c r="C968" s="47" t="s">
        <v>372</v>
      </c>
      <c r="D968" s="47" t="s">
        <v>336</v>
      </c>
      <c r="E968" s="50">
        <f>1247.9+1000+500+500</f>
        <v>3247.9</v>
      </c>
      <c r="F968" s="50"/>
    </row>
    <row r="969" spans="1:8" s="2" customFormat="1" ht="17.25" customHeight="1">
      <c r="A969" s="81" t="s">
        <v>121</v>
      </c>
      <c r="B969" s="82" t="s">
        <v>122</v>
      </c>
      <c r="C969" s="82"/>
      <c r="D969" s="82"/>
      <c r="E969" s="83">
        <f>E988+E1018+E970</f>
        <v>117333.6</v>
      </c>
      <c r="F969" s="83">
        <f>F988+F1018+F970</f>
        <v>13108</v>
      </c>
      <c r="H969" s="118"/>
    </row>
    <row r="970" spans="1:6" s="2" customFormat="1" ht="47.25" customHeight="1">
      <c r="A970" s="36" t="s">
        <v>3</v>
      </c>
      <c r="B970" s="47" t="s">
        <v>122</v>
      </c>
      <c r="C970" s="47" t="s">
        <v>358</v>
      </c>
      <c r="D970" s="47"/>
      <c r="E970" s="50">
        <f>E976+E971+E983</f>
        <v>34120.4</v>
      </c>
      <c r="F970" s="50">
        <f>F976+F971</f>
        <v>9899</v>
      </c>
    </row>
    <row r="971" spans="1:6" s="2" customFormat="1" ht="34.5" customHeight="1">
      <c r="A971" s="36" t="s">
        <v>443</v>
      </c>
      <c r="B971" s="47" t="s">
        <v>122</v>
      </c>
      <c r="C971" s="47" t="s">
        <v>230</v>
      </c>
      <c r="D971" s="47"/>
      <c r="E971" s="50">
        <f>E972+E974</f>
        <v>9899</v>
      </c>
      <c r="F971" s="50">
        <f>F972+F974</f>
        <v>9899</v>
      </c>
    </row>
    <row r="972" spans="1:6" s="2" customFormat="1" ht="25.5" customHeight="1">
      <c r="A972" s="46" t="s">
        <v>174</v>
      </c>
      <c r="B972" s="47" t="s">
        <v>122</v>
      </c>
      <c r="C972" s="47" t="s">
        <v>230</v>
      </c>
      <c r="D972" s="47" t="s">
        <v>173</v>
      </c>
      <c r="E972" s="50">
        <f>E973</f>
        <v>7885</v>
      </c>
      <c r="F972" s="50">
        <f>F973</f>
        <v>7885</v>
      </c>
    </row>
    <row r="973" spans="1:6" s="2" customFormat="1" ht="35.25" customHeight="1">
      <c r="A973" s="46" t="s">
        <v>176</v>
      </c>
      <c r="B973" s="47" t="s">
        <v>122</v>
      </c>
      <c r="C973" s="47" t="s">
        <v>230</v>
      </c>
      <c r="D973" s="47" t="s">
        <v>175</v>
      </c>
      <c r="E973" s="50">
        <f>9899-2014</f>
        <v>7885</v>
      </c>
      <c r="F973" s="50">
        <f>E973</f>
        <v>7885</v>
      </c>
    </row>
    <row r="974" spans="1:6" s="2" customFormat="1" ht="30.75" customHeight="1">
      <c r="A974" s="60" t="s">
        <v>339</v>
      </c>
      <c r="B974" s="47" t="s">
        <v>122</v>
      </c>
      <c r="C974" s="47" t="s">
        <v>230</v>
      </c>
      <c r="D974" s="69" t="s">
        <v>338</v>
      </c>
      <c r="E974" s="50">
        <f>E975</f>
        <v>2014</v>
      </c>
      <c r="F974" s="50">
        <f>F975</f>
        <v>2014</v>
      </c>
    </row>
    <row r="975" spans="1:6" s="2" customFormat="1" ht="19.5" customHeight="1">
      <c r="A975" s="58" t="s">
        <v>337</v>
      </c>
      <c r="B975" s="47" t="s">
        <v>122</v>
      </c>
      <c r="C975" s="47" t="s">
        <v>230</v>
      </c>
      <c r="D975" s="69" t="s">
        <v>336</v>
      </c>
      <c r="E975" s="50">
        <f>2014</f>
        <v>2014</v>
      </c>
      <c r="F975" s="50">
        <f>2014</f>
        <v>2014</v>
      </c>
    </row>
    <row r="976" spans="1:6" s="2" customFormat="1" ht="35.25" customHeight="1">
      <c r="A976" s="58" t="s">
        <v>229</v>
      </c>
      <c r="B976" s="47" t="s">
        <v>122</v>
      </c>
      <c r="C976" s="47" t="s">
        <v>230</v>
      </c>
      <c r="D976" s="47"/>
      <c r="E976" s="50">
        <f>E977+E981+E979</f>
        <v>16000</v>
      </c>
      <c r="F976" s="50"/>
    </row>
    <row r="977" spans="1:6" s="2" customFormat="1" ht="23.25" customHeight="1">
      <c r="A977" s="46" t="s">
        <v>174</v>
      </c>
      <c r="B977" s="47" t="s">
        <v>122</v>
      </c>
      <c r="C977" s="47" t="s">
        <v>230</v>
      </c>
      <c r="D977" s="47" t="s">
        <v>173</v>
      </c>
      <c r="E977" s="50">
        <f>E978</f>
        <v>8661.1</v>
      </c>
      <c r="F977" s="84">
        <f>F978</f>
        <v>0</v>
      </c>
    </row>
    <row r="978" spans="1:6" s="2" customFormat="1" ht="32.25" customHeight="1">
      <c r="A978" s="46" t="s">
        <v>176</v>
      </c>
      <c r="B978" s="47" t="s">
        <v>122</v>
      </c>
      <c r="C978" s="47" t="s">
        <v>230</v>
      </c>
      <c r="D978" s="47" t="s">
        <v>175</v>
      </c>
      <c r="E978" s="50">
        <f>11000-1313.5-1025.4</f>
        <v>8661.1</v>
      </c>
      <c r="F978" s="83"/>
    </row>
    <row r="979" spans="1:6" s="2" customFormat="1" ht="27" customHeight="1">
      <c r="A979" s="46" t="s">
        <v>42</v>
      </c>
      <c r="B979" s="47" t="s">
        <v>122</v>
      </c>
      <c r="C979" s="47" t="s">
        <v>230</v>
      </c>
      <c r="D979" s="47" t="s">
        <v>347</v>
      </c>
      <c r="E979" s="50">
        <f>E980</f>
        <v>1025.4</v>
      </c>
      <c r="F979" s="83"/>
    </row>
    <row r="980" spans="1:6" s="2" customFormat="1" ht="32.25" customHeight="1">
      <c r="A980" s="51" t="s">
        <v>54</v>
      </c>
      <c r="B980" s="47" t="s">
        <v>122</v>
      </c>
      <c r="C980" s="47" t="s">
        <v>230</v>
      </c>
      <c r="D980" s="47" t="s">
        <v>53</v>
      </c>
      <c r="E980" s="50">
        <v>1025.4</v>
      </c>
      <c r="F980" s="83"/>
    </row>
    <row r="981" spans="1:6" s="2" customFormat="1" ht="35.25" customHeight="1">
      <c r="A981" s="60" t="s">
        <v>339</v>
      </c>
      <c r="B981" s="47" t="s">
        <v>122</v>
      </c>
      <c r="C981" s="47" t="s">
        <v>230</v>
      </c>
      <c r="D981" s="69" t="s">
        <v>338</v>
      </c>
      <c r="E981" s="50">
        <f>E982</f>
        <v>6313.5</v>
      </c>
      <c r="F981" s="50"/>
    </row>
    <row r="982" spans="1:6" s="2" customFormat="1" ht="21.75" customHeight="1">
      <c r="A982" s="58" t="s">
        <v>337</v>
      </c>
      <c r="B982" s="47" t="s">
        <v>122</v>
      </c>
      <c r="C982" s="47" t="s">
        <v>230</v>
      </c>
      <c r="D982" s="69" t="s">
        <v>336</v>
      </c>
      <c r="E982" s="50">
        <f>5000+1313.5</f>
        <v>6313.5</v>
      </c>
      <c r="F982" s="50"/>
    </row>
    <row r="983" spans="1:6" s="2" customFormat="1" ht="30" customHeight="1">
      <c r="A983" s="58" t="s">
        <v>523</v>
      </c>
      <c r="B983" s="47" t="s">
        <v>122</v>
      </c>
      <c r="C983" s="47" t="s">
        <v>524</v>
      </c>
      <c r="D983" s="69"/>
      <c r="E983" s="50">
        <f>E984+E986</f>
        <v>8221.400000000001</v>
      </c>
      <c r="F983" s="50"/>
    </row>
    <row r="984" spans="1:6" s="2" customFormat="1" ht="21.75" customHeight="1">
      <c r="A984" s="46" t="s">
        <v>174</v>
      </c>
      <c r="B984" s="47" t="s">
        <v>122</v>
      </c>
      <c r="C984" s="47" t="s">
        <v>524</v>
      </c>
      <c r="D984" s="47" t="s">
        <v>173</v>
      </c>
      <c r="E984" s="50">
        <f>E985</f>
        <v>7327.400000000001</v>
      </c>
      <c r="F984" s="50"/>
    </row>
    <row r="985" spans="1:6" s="2" customFormat="1" ht="30" customHeight="1">
      <c r="A985" s="46" t="s">
        <v>176</v>
      </c>
      <c r="B985" s="47" t="s">
        <v>122</v>
      </c>
      <c r="C985" s="47" t="s">
        <v>524</v>
      </c>
      <c r="D985" s="47" t="s">
        <v>175</v>
      </c>
      <c r="E985" s="50">
        <f>5400+2900-1174.2+201.6</f>
        <v>7327.400000000001</v>
      </c>
      <c r="F985" s="50"/>
    </row>
    <row r="986" spans="1:6" s="2" customFormat="1" ht="23.25" customHeight="1">
      <c r="A986" s="46" t="s">
        <v>42</v>
      </c>
      <c r="B986" s="47" t="s">
        <v>122</v>
      </c>
      <c r="C986" s="47" t="s">
        <v>524</v>
      </c>
      <c r="D986" s="47" t="s">
        <v>347</v>
      </c>
      <c r="E986" s="50">
        <f>E987</f>
        <v>894</v>
      </c>
      <c r="F986" s="50"/>
    </row>
    <row r="987" spans="1:6" s="2" customFormat="1" ht="30" customHeight="1">
      <c r="A987" s="51" t="s">
        <v>54</v>
      </c>
      <c r="B987" s="47" t="s">
        <v>122</v>
      </c>
      <c r="C987" s="47" t="s">
        <v>524</v>
      </c>
      <c r="D987" s="47" t="s">
        <v>53</v>
      </c>
      <c r="E987" s="50">
        <f>1174.2-280.2</f>
        <v>894</v>
      </c>
      <c r="F987" s="50"/>
    </row>
    <row r="988" spans="1:6" s="2" customFormat="1" ht="21" customHeight="1">
      <c r="A988" s="36" t="s">
        <v>4</v>
      </c>
      <c r="B988" s="47" t="s">
        <v>122</v>
      </c>
      <c r="C988" s="47" t="s">
        <v>373</v>
      </c>
      <c r="D988" s="47"/>
      <c r="E988" s="84">
        <f>E989+E1001+E1012+E1015</f>
        <v>82243.2</v>
      </c>
      <c r="F988" s="84">
        <f>F989+F1001+F1012+F1015</f>
        <v>3209</v>
      </c>
    </row>
    <row r="989" spans="1:6" s="2" customFormat="1" ht="17.25" customHeight="1">
      <c r="A989" s="36" t="s">
        <v>116</v>
      </c>
      <c r="B989" s="47" t="s">
        <v>122</v>
      </c>
      <c r="C989" s="47" t="s">
        <v>374</v>
      </c>
      <c r="D989" s="47"/>
      <c r="E989" s="50">
        <f>E990+E993+E996</f>
        <v>28243.899999999998</v>
      </c>
      <c r="F989" s="50"/>
    </row>
    <row r="990" spans="1:6" s="2" customFormat="1" ht="19.5" customHeight="1">
      <c r="A990" s="58" t="s">
        <v>158</v>
      </c>
      <c r="B990" s="47" t="s">
        <v>122</v>
      </c>
      <c r="C990" s="47" t="s">
        <v>375</v>
      </c>
      <c r="D990" s="47"/>
      <c r="E990" s="50">
        <f>E991</f>
        <v>9501.8</v>
      </c>
      <c r="F990" s="50"/>
    </row>
    <row r="991" spans="1:6" s="2" customFormat="1" ht="60.75" customHeight="1">
      <c r="A991" s="46" t="s">
        <v>331</v>
      </c>
      <c r="B991" s="47" t="s">
        <v>122</v>
      </c>
      <c r="C991" s="47" t="s">
        <v>375</v>
      </c>
      <c r="D991" s="47" t="s">
        <v>179</v>
      </c>
      <c r="E991" s="50">
        <f>E992</f>
        <v>9501.8</v>
      </c>
      <c r="F991" s="50"/>
    </row>
    <row r="992" spans="1:6" s="2" customFormat="1" ht="23.25" customHeight="1">
      <c r="A992" s="58" t="s">
        <v>172</v>
      </c>
      <c r="B992" s="47" t="s">
        <v>122</v>
      </c>
      <c r="C992" s="47" t="s">
        <v>375</v>
      </c>
      <c r="D992" s="47" t="s">
        <v>171</v>
      </c>
      <c r="E992" s="50">
        <f>7689.3+1127.5+685</f>
        <v>9501.8</v>
      </c>
      <c r="F992" s="50"/>
    </row>
    <row r="993" spans="1:6" s="2" customFormat="1" ht="17.25" customHeight="1">
      <c r="A993" s="58" t="s">
        <v>159</v>
      </c>
      <c r="B993" s="47" t="s">
        <v>122</v>
      </c>
      <c r="C993" s="47" t="s">
        <v>376</v>
      </c>
      <c r="D993" s="47"/>
      <c r="E993" s="50">
        <f>E994</f>
        <v>14837.099999999999</v>
      </c>
      <c r="F993" s="50"/>
    </row>
    <row r="994" spans="1:6" s="2" customFormat="1" ht="69" customHeight="1">
      <c r="A994" s="46" t="s">
        <v>331</v>
      </c>
      <c r="B994" s="47" t="s">
        <v>122</v>
      </c>
      <c r="C994" s="47" t="s">
        <v>376</v>
      </c>
      <c r="D994" s="47" t="s">
        <v>179</v>
      </c>
      <c r="E994" s="50">
        <f>E995</f>
        <v>14837.099999999999</v>
      </c>
      <c r="F994" s="50"/>
    </row>
    <row r="995" spans="1:6" s="2" customFormat="1" ht="23.25" customHeight="1">
      <c r="A995" s="46" t="s">
        <v>172</v>
      </c>
      <c r="B995" s="47" t="s">
        <v>122</v>
      </c>
      <c r="C995" s="47" t="s">
        <v>376</v>
      </c>
      <c r="D995" s="47" t="s">
        <v>171</v>
      </c>
      <c r="E995" s="50">
        <f>12310.9+1305.3+879.6+341.3</f>
        <v>14837.099999999999</v>
      </c>
      <c r="F995" s="50"/>
    </row>
    <row r="996" spans="1:6" s="2" customFormat="1" ht="27">
      <c r="A996" s="46" t="s">
        <v>68</v>
      </c>
      <c r="B996" s="47" t="s">
        <v>122</v>
      </c>
      <c r="C996" s="47" t="s">
        <v>377</v>
      </c>
      <c r="D996" s="47"/>
      <c r="E996" s="50">
        <f>E997+E999</f>
        <v>3905</v>
      </c>
      <c r="F996" s="50"/>
    </row>
    <row r="997" spans="1:6" s="2" customFormat="1" ht="22.5" customHeight="1">
      <c r="A997" s="46" t="s">
        <v>174</v>
      </c>
      <c r="B997" s="47" t="s">
        <v>122</v>
      </c>
      <c r="C997" s="47" t="s">
        <v>377</v>
      </c>
      <c r="D997" s="47" t="s">
        <v>173</v>
      </c>
      <c r="E997" s="50">
        <f>E998</f>
        <v>2055</v>
      </c>
      <c r="F997" s="50"/>
    </row>
    <row r="998" spans="1:6" s="2" customFormat="1" ht="33" customHeight="1">
      <c r="A998" s="46" t="s">
        <v>176</v>
      </c>
      <c r="B998" s="47" t="s">
        <v>122</v>
      </c>
      <c r="C998" s="47" t="s">
        <v>377</v>
      </c>
      <c r="D998" s="47" t="s">
        <v>175</v>
      </c>
      <c r="E998" s="50">
        <f>3025-970</f>
        <v>2055</v>
      </c>
      <c r="F998" s="50"/>
    </row>
    <row r="999" spans="1:6" s="2" customFormat="1" ht="21.75" customHeight="1">
      <c r="A999" s="46" t="s">
        <v>178</v>
      </c>
      <c r="B999" s="47" t="s">
        <v>122</v>
      </c>
      <c r="C999" s="47" t="s">
        <v>377</v>
      </c>
      <c r="D999" s="47" t="s">
        <v>177</v>
      </c>
      <c r="E999" s="50">
        <f>E1000</f>
        <v>1850</v>
      </c>
      <c r="F999" s="50"/>
    </row>
    <row r="1000" spans="1:6" s="2" customFormat="1" ht="21.75" customHeight="1">
      <c r="A1000" s="58" t="s">
        <v>335</v>
      </c>
      <c r="B1000" s="47" t="s">
        <v>122</v>
      </c>
      <c r="C1000" s="47" t="s">
        <v>377</v>
      </c>
      <c r="D1000" s="47" t="s">
        <v>334</v>
      </c>
      <c r="E1000" s="115">
        <f>1850</f>
        <v>1850</v>
      </c>
      <c r="F1000" s="50"/>
    </row>
    <row r="1001" spans="1:6" s="1" customFormat="1" ht="24.75" customHeight="1">
      <c r="A1001" s="41" t="s">
        <v>117</v>
      </c>
      <c r="B1001" s="39" t="s">
        <v>122</v>
      </c>
      <c r="C1001" s="39" t="s">
        <v>135</v>
      </c>
      <c r="D1001" s="39"/>
      <c r="E1001" s="40">
        <f>E1005+E1002</f>
        <v>35074.600000000006</v>
      </c>
      <c r="F1001" s="40">
        <f>F1005+F1002</f>
        <v>3209</v>
      </c>
    </row>
    <row r="1002" spans="1:6" s="1" customFormat="1" ht="78" customHeight="1">
      <c r="A1002" s="41" t="s">
        <v>16</v>
      </c>
      <c r="B1002" s="39" t="s">
        <v>122</v>
      </c>
      <c r="C1002" s="39" t="s">
        <v>437</v>
      </c>
      <c r="D1002" s="39"/>
      <c r="E1002" s="57">
        <f>E1003</f>
        <v>3209</v>
      </c>
      <c r="F1002" s="57">
        <f>F1003</f>
        <v>3209</v>
      </c>
    </row>
    <row r="1003" spans="1:6" s="1" customFormat="1" ht="66" customHeight="1">
      <c r="A1003" s="43" t="s">
        <v>331</v>
      </c>
      <c r="B1003" s="39" t="s">
        <v>122</v>
      </c>
      <c r="C1003" s="39" t="s">
        <v>437</v>
      </c>
      <c r="D1003" s="39" t="s">
        <v>179</v>
      </c>
      <c r="E1003" s="57">
        <f>E1004</f>
        <v>3209</v>
      </c>
      <c r="F1003" s="57">
        <f>F1004</f>
        <v>3209</v>
      </c>
    </row>
    <row r="1004" spans="1:6" s="1" customFormat="1" ht="20.25" customHeight="1">
      <c r="A1004" s="46" t="s">
        <v>333</v>
      </c>
      <c r="B1004" s="39" t="s">
        <v>122</v>
      </c>
      <c r="C1004" s="39" t="s">
        <v>437</v>
      </c>
      <c r="D1004" s="39" t="s">
        <v>332</v>
      </c>
      <c r="E1004" s="40">
        <v>3209</v>
      </c>
      <c r="F1004" s="40">
        <f>E1004</f>
        <v>3209</v>
      </c>
    </row>
    <row r="1005" spans="1:6" s="1" customFormat="1" ht="80.25" customHeight="1">
      <c r="A1005" s="51" t="s">
        <v>66</v>
      </c>
      <c r="B1005" s="39" t="s">
        <v>122</v>
      </c>
      <c r="C1005" s="39" t="s">
        <v>378</v>
      </c>
      <c r="D1005" s="39"/>
      <c r="E1005" s="40">
        <f>E1006+E1008+E1010</f>
        <v>31865.600000000002</v>
      </c>
      <c r="F1005" s="40">
        <f>F1006+F1008</f>
        <v>0</v>
      </c>
    </row>
    <row r="1006" spans="1:6" s="1" customFormat="1" ht="68.25" customHeight="1">
      <c r="A1006" s="42" t="s">
        <v>331</v>
      </c>
      <c r="B1006" s="39" t="s">
        <v>122</v>
      </c>
      <c r="C1006" s="39" t="s">
        <v>378</v>
      </c>
      <c r="D1006" s="47" t="s">
        <v>179</v>
      </c>
      <c r="E1006" s="40">
        <f>E1007</f>
        <v>27468.5</v>
      </c>
      <c r="F1006" s="40"/>
    </row>
    <row r="1007" spans="1:6" s="1" customFormat="1" ht="24.75" customHeight="1">
      <c r="A1007" s="58" t="s">
        <v>333</v>
      </c>
      <c r="B1007" s="39" t="s">
        <v>122</v>
      </c>
      <c r="C1007" s="39" t="s">
        <v>378</v>
      </c>
      <c r="D1007" s="47" t="s">
        <v>332</v>
      </c>
      <c r="E1007" s="40">
        <f>26599.5+869</f>
        <v>27468.5</v>
      </c>
      <c r="F1007" s="40"/>
    </row>
    <row r="1008" spans="1:6" s="1" customFormat="1" ht="17.25" customHeight="1">
      <c r="A1008" s="46" t="s">
        <v>174</v>
      </c>
      <c r="B1008" s="10" t="s">
        <v>122</v>
      </c>
      <c r="C1008" s="39" t="s">
        <v>378</v>
      </c>
      <c r="D1008" s="48" t="s">
        <v>173</v>
      </c>
      <c r="E1008" s="57">
        <f>E1009</f>
        <v>4396.200000000001</v>
      </c>
      <c r="F1008" s="57"/>
    </row>
    <row r="1009" spans="1:6" s="1" customFormat="1" ht="31.5" customHeight="1">
      <c r="A1009" s="46" t="s">
        <v>176</v>
      </c>
      <c r="B1009" s="39" t="s">
        <v>122</v>
      </c>
      <c r="C1009" s="39" t="s">
        <v>378</v>
      </c>
      <c r="D1009" s="47" t="s">
        <v>175</v>
      </c>
      <c r="E1009" s="40">
        <f>5236.1-839.9</f>
        <v>4396.200000000001</v>
      </c>
      <c r="F1009" s="40"/>
    </row>
    <row r="1010" spans="1:6" s="1" customFormat="1" ht="18" customHeight="1">
      <c r="A1010" s="46" t="s">
        <v>178</v>
      </c>
      <c r="B1010" s="39" t="s">
        <v>122</v>
      </c>
      <c r="C1010" s="39" t="s">
        <v>378</v>
      </c>
      <c r="D1010" s="47" t="s">
        <v>177</v>
      </c>
      <c r="E1010" s="40">
        <f>E1011</f>
        <v>0.8999999999999986</v>
      </c>
      <c r="F1010" s="40"/>
    </row>
    <row r="1011" spans="1:6" s="1" customFormat="1" ht="18" customHeight="1">
      <c r="A1011" s="58" t="s">
        <v>335</v>
      </c>
      <c r="B1011" s="39" t="s">
        <v>122</v>
      </c>
      <c r="C1011" s="39" t="s">
        <v>378</v>
      </c>
      <c r="D1011" s="47" t="s">
        <v>334</v>
      </c>
      <c r="E1011" s="40">
        <f>30-29.1</f>
        <v>0.8999999999999986</v>
      </c>
      <c r="F1011" s="40"/>
    </row>
    <row r="1012" spans="1:6" s="1" customFormat="1" ht="30.75" customHeight="1">
      <c r="A1012" s="42" t="s">
        <v>401</v>
      </c>
      <c r="B1012" s="39" t="s">
        <v>122</v>
      </c>
      <c r="C1012" s="39" t="s">
        <v>379</v>
      </c>
      <c r="D1012" s="39"/>
      <c r="E1012" s="40">
        <f>E1013</f>
        <v>17944.7</v>
      </c>
      <c r="F1012" s="40"/>
    </row>
    <row r="1013" spans="1:6" s="1" customFormat="1" ht="36" customHeight="1">
      <c r="A1013" s="36" t="s">
        <v>339</v>
      </c>
      <c r="B1013" s="10" t="s">
        <v>122</v>
      </c>
      <c r="C1013" s="39" t="s">
        <v>379</v>
      </c>
      <c r="D1013" s="39" t="s">
        <v>338</v>
      </c>
      <c r="E1013" s="57">
        <f>E1014</f>
        <v>17944.7</v>
      </c>
      <c r="F1013" s="57"/>
    </row>
    <row r="1014" spans="1:6" s="1" customFormat="1" ht="26.25" customHeight="1">
      <c r="A1014" s="42" t="s">
        <v>337</v>
      </c>
      <c r="B1014" s="39" t="s">
        <v>122</v>
      </c>
      <c r="C1014" s="39" t="s">
        <v>379</v>
      </c>
      <c r="D1014" s="39" t="s">
        <v>336</v>
      </c>
      <c r="E1014" s="40">
        <f>16925+870+149.7</f>
        <v>17944.7</v>
      </c>
      <c r="F1014" s="40"/>
    </row>
    <row r="1015" spans="1:6" s="1" customFormat="1" ht="21.75" customHeight="1">
      <c r="A1015" s="42" t="s">
        <v>398</v>
      </c>
      <c r="B1015" s="39" t="s">
        <v>122</v>
      </c>
      <c r="C1015" s="39" t="s">
        <v>380</v>
      </c>
      <c r="D1015" s="39"/>
      <c r="E1015" s="40">
        <f>E1016</f>
        <v>980</v>
      </c>
      <c r="F1015" s="40"/>
    </row>
    <row r="1016" spans="1:6" s="1" customFormat="1" ht="28.5" customHeight="1">
      <c r="A1016" s="36" t="s">
        <v>339</v>
      </c>
      <c r="B1016" s="10" t="s">
        <v>122</v>
      </c>
      <c r="C1016" s="39" t="s">
        <v>380</v>
      </c>
      <c r="D1016" s="39" t="s">
        <v>338</v>
      </c>
      <c r="E1016" s="57">
        <f>E1017</f>
        <v>980</v>
      </c>
      <c r="F1016" s="57"/>
    </row>
    <row r="1017" spans="1:6" s="1" customFormat="1" ht="22.5" customHeight="1">
      <c r="A1017" s="43" t="s">
        <v>337</v>
      </c>
      <c r="B1017" s="10" t="s">
        <v>122</v>
      </c>
      <c r="C1017" s="39" t="s">
        <v>380</v>
      </c>
      <c r="D1017" s="39" t="s">
        <v>336</v>
      </c>
      <c r="E1017" s="57">
        <f>3750-400-2370</f>
        <v>980</v>
      </c>
      <c r="F1017" s="57"/>
    </row>
    <row r="1018" spans="1:6" s="1" customFormat="1" ht="75.75" customHeight="1">
      <c r="A1018" s="36" t="s">
        <v>265</v>
      </c>
      <c r="B1018" s="47" t="s">
        <v>122</v>
      </c>
      <c r="C1018" s="37" t="s">
        <v>241</v>
      </c>
      <c r="D1018" s="63"/>
      <c r="E1018" s="40">
        <f>E1019</f>
        <v>970</v>
      </c>
      <c r="F1018" s="13"/>
    </row>
    <row r="1019" spans="1:6" s="1" customFormat="1" ht="35.25" customHeight="1">
      <c r="A1019" s="46" t="s">
        <v>240</v>
      </c>
      <c r="B1019" s="47" t="s">
        <v>122</v>
      </c>
      <c r="C1019" s="37" t="s">
        <v>239</v>
      </c>
      <c r="D1019" s="63"/>
      <c r="E1019" s="40">
        <f>E1020</f>
        <v>970</v>
      </c>
      <c r="F1019" s="13"/>
    </row>
    <row r="1020" spans="1:6" s="1" customFormat="1" ht="22.5" customHeight="1">
      <c r="A1020" s="46" t="s">
        <v>174</v>
      </c>
      <c r="B1020" s="47" t="s">
        <v>122</v>
      </c>
      <c r="C1020" s="37" t="s">
        <v>239</v>
      </c>
      <c r="D1020" s="39" t="s">
        <v>173</v>
      </c>
      <c r="E1020" s="40">
        <f>E1021</f>
        <v>970</v>
      </c>
      <c r="F1020" s="13"/>
    </row>
    <row r="1021" spans="1:6" s="1" customFormat="1" ht="30.75" customHeight="1">
      <c r="A1021" s="46" t="s">
        <v>176</v>
      </c>
      <c r="B1021" s="47" t="s">
        <v>122</v>
      </c>
      <c r="C1021" s="37" t="s">
        <v>239</v>
      </c>
      <c r="D1021" s="39" t="s">
        <v>175</v>
      </c>
      <c r="E1021" s="40">
        <f>970</f>
        <v>970</v>
      </c>
      <c r="F1021" s="13"/>
    </row>
    <row r="1022" spans="1:6" s="1" customFormat="1" ht="17.25" customHeight="1">
      <c r="A1022" s="22" t="s">
        <v>78</v>
      </c>
      <c r="B1022" s="19" t="s">
        <v>124</v>
      </c>
      <c r="C1022" s="19"/>
      <c r="D1022" s="19"/>
      <c r="E1022" s="20">
        <f>E1050+E1023</f>
        <v>159439.1</v>
      </c>
      <c r="F1022" s="20">
        <f>F1050+F1023</f>
        <v>0</v>
      </c>
    </row>
    <row r="1023" spans="1:6" s="1" customFormat="1" ht="18" customHeight="1">
      <c r="A1023" s="59" t="s">
        <v>125</v>
      </c>
      <c r="B1023" s="63" t="s">
        <v>126</v>
      </c>
      <c r="C1023" s="82"/>
      <c r="D1023" s="63"/>
      <c r="E1023" s="13">
        <f>E1024</f>
        <v>147899.6</v>
      </c>
      <c r="F1023" s="13">
        <f>F1024</f>
        <v>0</v>
      </c>
    </row>
    <row r="1024" spans="1:6" s="1" customFormat="1" ht="32.25" customHeight="1">
      <c r="A1024" s="36" t="s">
        <v>273</v>
      </c>
      <c r="B1024" s="10" t="s">
        <v>126</v>
      </c>
      <c r="C1024" s="10" t="s">
        <v>362</v>
      </c>
      <c r="D1024" s="38"/>
      <c r="E1024" s="57">
        <f>E1025+E1038</f>
        <v>147899.6</v>
      </c>
      <c r="F1024" s="57">
        <f>F1025+F1038</f>
        <v>0</v>
      </c>
    </row>
    <row r="1025" spans="1:6" s="1" customFormat="1" ht="23.25" customHeight="1">
      <c r="A1025" s="36" t="s">
        <v>166</v>
      </c>
      <c r="B1025" s="10" t="s">
        <v>126</v>
      </c>
      <c r="C1025" s="10" t="s">
        <v>381</v>
      </c>
      <c r="D1025" s="38"/>
      <c r="E1025" s="57">
        <f>E1026+E1029+E1032+E1035</f>
        <v>48000.5</v>
      </c>
      <c r="F1025" s="57">
        <f>F1026+F1029+F1032</f>
        <v>0</v>
      </c>
    </row>
    <row r="1026" spans="1:6" s="1" customFormat="1" ht="19.5" customHeight="1">
      <c r="A1026" s="51" t="s">
        <v>406</v>
      </c>
      <c r="B1026" s="37" t="s">
        <v>126</v>
      </c>
      <c r="C1026" s="39" t="s">
        <v>382</v>
      </c>
      <c r="D1026" s="37"/>
      <c r="E1026" s="40">
        <f>E1027</f>
        <v>37044.6</v>
      </c>
      <c r="F1026" s="40"/>
    </row>
    <row r="1027" spans="1:6" s="1" customFormat="1" ht="33.75" customHeight="1">
      <c r="A1027" s="36" t="s">
        <v>339</v>
      </c>
      <c r="B1027" s="10" t="s">
        <v>126</v>
      </c>
      <c r="C1027" s="39" t="s">
        <v>382</v>
      </c>
      <c r="D1027" s="38" t="s">
        <v>338</v>
      </c>
      <c r="E1027" s="57">
        <f>E1028</f>
        <v>37044.6</v>
      </c>
      <c r="F1027" s="57"/>
    </row>
    <row r="1028" spans="1:6" s="1" customFormat="1" ht="27" customHeight="1">
      <c r="A1028" s="43" t="s">
        <v>337</v>
      </c>
      <c r="B1028" s="10" t="s">
        <v>126</v>
      </c>
      <c r="C1028" s="39" t="s">
        <v>382</v>
      </c>
      <c r="D1028" s="38" t="s">
        <v>336</v>
      </c>
      <c r="E1028" s="57">
        <f>34427.1+2555+62.5</f>
        <v>37044.6</v>
      </c>
      <c r="F1028" s="57"/>
    </row>
    <row r="1029" spans="1:6" s="1" customFormat="1" ht="34.5" customHeight="1">
      <c r="A1029" s="42" t="s">
        <v>169</v>
      </c>
      <c r="B1029" s="39" t="s">
        <v>126</v>
      </c>
      <c r="C1029" s="39" t="s">
        <v>512</v>
      </c>
      <c r="D1029" s="37"/>
      <c r="E1029" s="40">
        <f>E1030</f>
        <v>1000</v>
      </c>
      <c r="F1029" s="40"/>
    </row>
    <row r="1030" spans="1:6" s="1" customFormat="1" ht="36" customHeight="1">
      <c r="A1030" s="36" t="s">
        <v>339</v>
      </c>
      <c r="B1030" s="10" t="s">
        <v>126</v>
      </c>
      <c r="C1030" s="39" t="s">
        <v>512</v>
      </c>
      <c r="D1030" s="38" t="s">
        <v>338</v>
      </c>
      <c r="E1030" s="57">
        <f>E1031</f>
        <v>1000</v>
      </c>
      <c r="F1030" s="57"/>
    </row>
    <row r="1031" spans="1:6" s="1" customFormat="1" ht="19.5" customHeight="1">
      <c r="A1031" s="43" t="s">
        <v>337</v>
      </c>
      <c r="B1031" s="10" t="s">
        <v>126</v>
      </c>
      <c r="C1031" s="39" t="s">
        <v>512</v>
      </c>
      <c r="D1031" s="38" t="s">
        <v>336</v>
      </c>
      <c r="E1031" s="57">
        <f>1000</f>
        <v>1000</v>
      </c>
      <c r="F1031" s="57"/>
    </row>
    <row r="1032" spans="1:6" s="1" customFormat="1" ht="34.5" customHeight="1">
      <c r="A1032" s="46" t="s">
        <v>199</v>
      </c>
      <c r="B1032" s="48" t="s">
        <v>126</v>
      </c>
      <c r="C1032" s="39" t="s">
        <v>235</v>
      </c>
      <c r="D1032" s="70"/>
      <c r="E1032" s="53">
        <f>E1033</f>
        <v>9446.5</v>
      </c>
      <c r="F1032" s="53"/>
    </row>
    <row r="1033" spans="1:6" s="1" customFormat="1" ht="30.75" customHeight="1">
      <c r="A1033" s="60" t="s">
        <v>339</v>
      </c>
      <c r="B1033" s="48" t="s">
        <v>126</v>
      </c>
      <c r="C1033" s="39" t="s">
        <v>235</v>
      </c>
      <c r="D1033" s="70" t="s">
        <v>338</v>
      </c>
      <c r="E1033" s="53">
        <f>E1034</f>
        <v>9446.5</v>
      </c>
      <c r="F1033" s="53"/>
    </row>
    <row r="1034" spans="1:6" s="1" customFormat="1" ht="22.5" customHeight="1">
      <c r="A1034" s="43" t="s">
        <v>337</v>
      </c>
      <c r="B1034" s="48" t="s">
        <v>126</v>
      </c>
      <c r="C1034" s="39" t="s">
        <v>235</v>
      </c>
      <c r="D1034" s="70" t="s">
        <v>336</v>
      </c>
      <c r="E1034" s="53">
        <f>9446.5</f>
        <v>9446.5</v>
      </c>
      <c r="F1034" s="53"/>
    </row>
    <row r="1035" spans="1:6" s="1" customFormat="1" ht="22.5" customHeight="1">
      <c r="A1035" s="42" t="s">
        <v>394</v>
      </c>
      <c r="B1035" s="48" t="s">
        <v>126</v>
      </c>
      <c r="C1035" s="39" t="s">
        <v>712</v>
      </c>
      <c r="D1035" s="39"/>
      <c r="E1035" s="40">
        <f>E1036</f>
        <v>509.4</v>
      </c>
      <c r="F1035" s="44"/>
    </row>
    <row r="1036" spans="1:6" s="1" customFormat="1" ht="31.5" customHeight="1">
      <c r="A1036" s="36" t="s">
        <v>339</v>
      </c>
      <c r="B1036" s="48" t="s">
        <v>126</v>
      </c>
      <c r="C1036" s="39" t="s">
        <v>712</v>
      </c>
      <c r="D1036" s="78" t="s">
        <v>338</v>
      </c>
      <c r="E1036" s="40">
        <f>E1037</f>
        <v>509.4</v>
      </c>
      <c r="F1036" s="45"/>
    </row>
    <row r="1037" spans="1:6" s="1" customFormat="1" ht="22.5" customHeight="1">
      <c r="A1037" s="42" t="s">
        <v>337</v>
      </c>
      <c r="B1037" s="48" t="s">
        <v>126</v>
      </c>
      <c r="C1037" s="39" t="s">
        <v>712</v>
      </c>
      <c r="D1037" s="39" t="s">
        <v>336</v>
      </c>
      <c r="E1037" s="40">
        <f>571.9-62.5</f>
        <v>509.4</v>
      </c>
      <c r="F1037" s="44"/>
    </row>
    <row r="1038" spans="1:6" s="1" customFormat="1" ht="48" customHeight="1">
      <c r="A1038" s="43" t="s">
        <v>2</v>
      </c>
      <c r="B1038" s="10" t="s">
        <v>126</v>
      </c>
      <c r="C1038" s="10" t="s">
        <v>383</v>
      </c>
      <c r="D1038" s="38"/>
      <c r="E1038" s="57">
        <f>E1039+E1042+E1047</f>
        <v>99899.1</v>
      </c>
      <c r="F1038" s="57">
        <f>F1039+F1042</f>
        <v>0</v>
      </c>
    </row>
    <row r="1039" spans="1:6" s="1" customFormat="1" ht="21.75" customHeight="1">
      <c r="A1039" s="41" t="s">
        <v>407</v>
      </c>
      <c r="B1039" s="10" t="s">
        <v>126</v>
      </c>
      <c r="C1039" s="10" t="s">
        <v>384</v>
      </c>
      <c r="D1039" s="38"/>
      <c r="E1039" s="57">
        <f>E1040</f>
        <v>70832</v>
      </c>
      <c r="F1039" s="57"/>
    </row>
    <row r="1040" spans="1:6" s="1" customFormat="1" ht="30" customHeight="1">
      <c r="A1040" s="60" t="s">
        <v>339</v>
      </c>
      <c r="B1040" s="39" t="s">
        <v>126</v>
      </c>
      <c r="C1040" s="39" t="s">
        <v>384</v>
      </c>
      <c r="D1040" s="37" t="s">
        <v>338</v>
      </c>
      <c r="E1040" s="40">
        <f>E1041</f>
        <v>70832</v>
      </c>
      <c r="F1040" s="40"/>
    </row>
    <row r="1041" spans="1:6" s="1" customFormat="1" ht="22.5" customHeight="1">
      <c r="A1041" s="42" t="s">
        <v>337</v>
      </c>
      <c r="B1041" s="39" t="s">
        <v>126</v>
      </c>
      <c r="C1041" s="10" t="s">
        <v>384</v>
      </c>
      <c r="D1041" s="37" t="s">
        <v>336</v>
      </c>
      <c r="E1041" s="40">
        <f>61031.7+2767.5+4245+673.5+670+1444.3</f>
        <v>70832</v>
      </c>
      <c r="F1041" s="40"/>
    </row>
    <row r="1042" spans="1:6" s="1" customFormat="1" ht="21" customHeight="1">
      <c r="A1042" s="43" t="s">
        <v>408</v>
      </c>
      <c r="B1042" s="10" t="s">
        <v>126</v>
      </c>
      <c r="C1042" s="10" t="s">
        <v>385</v>
      </c>
      <c r="D1042" s="38"/>
      <c r="E1042" s="57">
        <f>E1045+E1043</f>
        <v>25128.999999999996</v>
      </c>
      <c r="F1042" s="57"/>
    </row>
    <row r="1043" spans="1:6" s="1" customFormat="1" ht="24" customHeight="1">
      <c r="A1043" s="46" t="s">
        <v>174</v>
      </c>
      <c r="B1043" s="10" t="s">
        <v>126</v>
      </c>
      <c r="C1043" s="10" t="s">
        <v>385</v>
      </c>
      <c r="D1043" s="38" t="s">
        <v>173</v>
      </c>
      <c r="E1043" s="57">
        <f>E1044</f>
        <v>1100</v>
      </c>
      <c r="F1043" s="57"/>
    </row>
    <row r="1044" spans="1:6" s="1" customFormat="1" ht="32.25" customHeight="1">
      <c r="A1044" s="46" t="s">
        <v>176</v>
      </c>
      <c r="B1044" s="10" t="s">
        <v>126</v>
      </c>
      <c r="C1044" s="10" t="s">
        <v>385</v>
      </c>
      <c r="D1044" s="38" t="s">
        <v>175</v>
      </c>
      <c r="E1044" s="57">
        <f>1200+425-525</f>
        <v>1100</v>
      </c>
      <c r="F1044" s="57"/>
    </row>
    <row r="1045" spans="1:6" s="1" customFormat="1" ht="34.5" customHeight="1">
      <c r="A1045" s="36" t="s">
        <v>339</v>
      </c>
      <c r="B1045" s="10" t="s">
        <v>126</v>
      </c>
      <c r="C1045" s="10" t="s">
        <v>385</v>
      </c>
      <c r="D1045" s="38" t="s">
        <v>338</v>
      </c>
      <c r="E1045" s="57">
        <f>E1046</f>
        <v>24028.999999999996</v>
      </c>
      <c r="F1045" s="57"/>
    </row>
    <row r="1046" spans="1:6" s="1" customFormat="1" ht="21.75" customHeight="1">
      <c r="A1046" s="42" t="s">
        <v>337</v>
      </c>
      <c r="B1046" s="39" t="s">
        <v>126</v>
      </c>
      <c r="C1046" s="10" t="s">
        <v>385</v>
      </c>
      <c r="D1046" s="37" t="s">
        <v>336</v>
      </c>
      <c r="E1046" s="40">
        <f>28342.6-571.9+400-700-670-2771.7</f>
        <v>24028.999999999996</v>
      </c>
      <c r="F1046" s="40"/>
    </row>
    <row r="1047" spans="1:6" s="1" customFormat="1" ht="31.5" customHeight="1">
      <c r="A1047" s="43" t="s">
        <v>506</v>
      </c>
      <c r="B1047" s="39" t="s">
        <v>126</v>
      </c>
      <c r="C1047" s="10" t="s">
        <v>507</v>
      </c>
      <c r="D1047" s="38"/>
      <c r="E1047" s="57">
        <f>E1048</f>
        <v>3938.1</v>
      </c>
      <c r="F1047" s="57"/>
    </row>
    <row r="1048" spans="1:6" s="1" customFormat="1" ht="21.75" customHeight="1">
      <c r="A1048" s="46" t="s">
        <v>174</v>
      </c>
      <c r="B1048" s="39" t="s">
        <v>126</v>
      </c>
      <c r="C1048" s="10" t="s">
        <v>507</v>
      </c>
      <c r="D1048" s="38" t="s">
        <v>173</v>
      </c>
      <c r="E1048" s="57">
        <f>E1049</f>
        <v>3938.1</v>
      </c>
      <c r="F1048" s="57"/>
    </row>
    <row r="1049" spans="1:6" s="1" customFormat="1" ht="30.75" customHeight="1">
      <c r="A1049" s="46" t="s">
        <v>176</v>
      </c>
      <c r="B1049" s="39" t="s">
        <v>126</v>
      </c>
      <c r="C1049" s="10" t="s">
        <v>507</v>
      </c>
      <c r="D1049" s="38" t="s">
        <v>175</v>
      </c>
      <c r="E1049" s="57">
        <f>1150+662.5+2125.6</f>
        <v>3938.1</v>
      </c>
      <c r="F1049" s="57"/>
    </row>
    <row r="1050" spans="1:6" s="1" customFormat="1" ht="14.25">
      <c r="A1050" s="49" t="s">
        <v>51</v>
      </c>
      <c r="B1050" s="85" t="s">
        <v>52</v>
      </c>
      <c r="C1050" s="86"/>
      <c r="D1050" s="85"/>
      <c r="E1050" s="12">
        <f>E1051</f>
        <v>11539.5</v>
      </c>
      <c r="F1050" s="12"/>
    </row>
    <row r="1051" spans="1:6" s="1" customFormat="1" ht="21" customHeight="1">
      <c r="A1051" s="43" t="s">
        <v>167</v>
      </c>
      <c r="B1051" s="38" t="s">
        <v>52</v>
      </c>
      <c r="C1051" s="10" t="s">
        <v>386</v>
      </c>
      <c r="D1051" s="38"/>
      <c r="E1051" s="57">
        <f>E1052</f>
        <v>11539.5</v>
      </c>
      <c r="F1051" s="57"/>
    </row>
    <row r="1052" spans="1:6" s="1" customFormat="1" ht="68.25" customHeight="1">
      <c r="A1052" s="51" t="s">
        <v>123</v>
      </c>
      <c r="B1052" s="37" t="s">
        <v>52</v>
      </c>
      <c r="C1052" s="39" t="s">
        <v>387</v>
      </c>
      <c r="D1052" s="39"/>
      <c r="E1052" s="40">
        <f>E1053+E1055+E1057</f>
        <v>11539.5</v>
      </c>
      <c r="F1052" s="40"/>
    </row>
    <row r="1053" spans="1:6" s="1" customFormat="1" ht="66" customHeight="1">
      <c r="A1053" s="42" t="s">
        <v>331</v>
      </c>
      <c r="B1053" s="37" t="s">
        <v>52</v>
      </c>
      <c r="C1053" s="39" t="s">
        <v>387</v>
      </c>
      <c r="D1053" s="39" t="s">
        <v>179</v>
      </c>
      <c r="E1053" s="40">
        <f>E1054</f>
        <v>9797.5</v>
      </c>
      <c r="F1053" s="40"/>
    </row>
    <row r="1054" spans="1:6" s="1" customFormat="1" ht="24" customHeight="1">
      <c r="A1054" s="42" t="s">
        <v>333</v>
      </c>
      <c r="B1054" s="37" t="s">
        <v>52</v>
      </c>
      <c r="C1054" s="39" t="s">
        <v>387</v>
      </c>
      <c r="D1054" s="39" t="s">
        <v>332</v>
      </c>
      <c r="E1054" s="40">
        <f>9382.5+415</f>
        <v>9797.5</v>
      </c>
      <c r="F1054" s="40"/>
    </row>
    <row r="1055" spans="1:6" s="1" customFormat="1" ht="21.75" customHeight="1">
      <c r="A1055" s="46" t="s">
        <v>174</v>
      </c>
      <c r="B1055" s="38" t="s">
        <v>52</v>
      </c>
      <c r="C1055" s="39" t="s">
        <v>387</v>
      </c>
      <c r="D1055" s="10" t="s">
        <v>173</v>
      </c>
      <c r="E1055" s="57">
        <f>E1056</f>
        <v>1737</v>
      </c>
      <c r="F1055" s="57"/>
    </row>
    <row r="1056" spans="1:6" s="1" customFormat="1" ht="30.75" customHeight="1">
      <c r="A1056" s="58" t="s">
        <v>176</v>
      </c>
      <c r="B1056" s="37" t="s">
        <v>52</v>
      </c>
      <c r="C1056" s="39" t="s">
        <v>387</v>
      </c>
      <c r="D1056" s="39" t="s">
        <v>175</v>
      </c>
      <c r="E1056" s="40">
        <f>1652+35+50</f>
        <v>1737</v>
      </c>
      <c r="F1056" s="40"/>
    </row>
    <row r="1057" spans="1:6" s="1" customFormat="1" ht="20.25" customHeight="1">
      <c r="A1057" s="46" t="s">
        <v>178</v>
      </c>
      <c r="B1057" s="38" t="s">
        <v>52</v>
      </c>
      <c r="C1057" s="39" t="s">
        <v>387</v>
      </c>
      <c r="D1057" s="10" t="s">
        <v>177</v>
      </c>
      <c r="E1057" s="57">
        <f>E1058</f>
        <v>5</v>
      </c>
      <c r="F1057" s="57"/>
    </row>
    <row r="1058" spans="1:6" s="1" customFormat="1" ht="21" customHeight="1">
      <c r="A1058" s="58" t="s">
        <v>335</v>
      </c>
      <c r="B1058" s="37" t="s">
        <v>52</v>
      </c>
      <c r="C1058" s="39" t="s">
        <v>387</v>
      </c>
      <c r="D1058" s="39" t="s">
        <v>334</v>
      </c>
      <c r="E1058" s="40">
        <f>5</f>
        <v>5</v>
      </c>
      <c r="F1058" s="40"/>
    </row>
    <row r="1059" spans="1:6" s="1" customFormat="1" ht="24" customHeight="1">
      <c r="A1059" s="25" t="s">
        <v>79</v>
      </c>
      <c r="B1059" s="24" t="s">
        <v>96</v>
      </c>
      <c r="C1059" s="24"/>
      <c r="D1059" s="24"/>
      <c r="E1059" s="26">
        <f>E1060</f>
        <v>47653</v>
      </c>
      <c r="F1059" s="26">
        <f>F1060</f>
        <v>37939</v>
      </c>
    </row>
    <row r="1060" spans="1:6" ht="17.25" customHeight="1">
      <c r="A1060" s="81" t="s">
        <v>50</v>
      </c>
      <c r="B1060" s="82" t="s">
        <v>80</v>
      </c>
      <c r="C1060" s="82"/>
      <c r="D1060" s="82"/>
      <c r="E1060" s="83">
        <f>E1061</f>
        <v>47653</v>
      </c>
      <c r="F1060" s="83">
        <f>F1061</f>
        <v>37939</v>
      </c>
    </row>
    <row r="1061" spans="1:6" ht="58.5" customHeight="1">
      <c r="A1061" s="60" t="s">
        <v>255</v>
      </c>
      <c r="B1061" s="47" t="s">
        <v>80</v>
      </c>
      <c r="C1061" s="69" t="s">
        <v>388</v>
      </c>
      <c r="D1061" s="47"/>
      <c r="E1061" s="50">
        <f>E1062+E1065</f>
        <v>47653</v>
      </c>
      <c r="F1061" s="50">
        <f>F1062+F1065</f>
        <v>37939</v>
      </c>
    </row>
    <row r="1062" spans="1:6" ht="45" customHeight="1">
      <c r="A1062" s="36" t="s">
        <v>18</v>
      </c>
      <c r="B1062" s="48" t="s">
        <v>80</v>
      </c>
      <c r="C1062" s="69" t="s">
        <v>389</v>
      </c>
      <c r="D1062" s="47"/>
      <c r="E1062" s="53">
        <f>E1063</f>
        <v>9714</v>
      </c>
      <c r="F1062" s="53">
        <f>F1063</f>
        <v>0</v>
      </c>
    </row>
    <row r="1063" spans="1:6" ht="21.75" customHeight="1">
      <c r="A1063" s="46" t="s">
        <v>42</v>
      </c>
      <c r="B1063" s="48" t="s">
        <v>80</v>
      </c>
      <c r="C1063" s="69" t="s">
        <v>389</v>
      </c>
      <c r="D1063" s="47" t="s">
        <v>347</v>
      </c>
      <c r="E1063" s="53">
        <f>E1064</f>
        <v>9714</v>
      </c>
      <c r="F1063" s="53"/>
    </row>
    <row r="1064" spans="1:6" ht="28.5" customHeight="1">
      <c r="A1064" s="51" t="s">
        <v>54</v>
      </c>
      <c r="B1064" s="48" t="s">
        <v>80</v>
      </c>
      <c r="C1064" s="69" t="s">
        <v>389</v>
      </c>
      <c r="D1064" s="47" t="s">
        <v>53</v>
      </c>
      <c r="E1064" s="53">
        <f>9714</f>
        <v>9714</v>
      </c>
      <c r="F1064" s="53"/>
    </row>
    <row r="1065" spans="1:6" ht="48" customHeight="1">
      <c r="A1065" s="58" t="s">
        <v>19</v>
      </c>
      <c r="B1065" s="47" t="s">
        <v>80</v>
      </c>
      <c r="C1065" s="69" t="s">
        <v>438</v>
      </c>
      <c r="D1065" s="47"/>
      <c r="E1065" s="50">
        <f>E1066</f>
        <v>37939</v>
      </c>
      <c r="F1065" s="50">
        <f>F1066</f>
        <v>37939</v>
      </c>
    </row>
    <row r="1066" spans="1:6" ht="25.5" customHeight="1">
      <c r="A1066" s="46" t="s">
        <v>174</v>
      </c>
      <c r="B1066" s="48" t="s">
        <v>80</v>
      </c>
      <c r="C1066" s="69" t="s">
        <v>438</v>
      </c>
      <c r="D1066" s="47" t="s">
        <v>173</v>
      </c>
      <c r="E1066" s="53">
        <f>E1067</f>
        <v>37939</v>
      </c>
      <c r="F1066" s="53">
        <f>F1067</f>
        <v>37939</v>
      </c>
    </row>
    <row r="1067" spans="1:6" ht="34.5" customHeight="1">
      <c r="A1067" s="58" t="s">
        <v>176</v>
      </c>
      <c r="B1067" s="48" t="s">
        <v>80</v>
      </c>
      <c r="C1067" s="69" t="s">
        <v>438</v>
      </c>
      <c r="D1067" s="47" t="s">
        <v>175</v>
      </c>
      <c r="E1067" s="53">
        <f>44745-6806</f>
        <v>37939</v>
      </c>
      <c r="F1067" s="53">
        <f>E1067</f>
        <v>37939</v>
      </c>
    </row>
    <row r="1068" spans="1:8" ht="19.5" customHeight="1">
      <c r="A1068" s="27" t="s">
        <v>104</v>
      </c>
      <c r="B1068" s="28" t="s">
        <v>127</v>
      </c>
      <c r="C1068" s="28"/>
      <c r="D1068" s="28"/>
      <c r="E1068" s="29">
        <f>E1069+E1075+E1102</f>
        <v>261683.8</v>
      </c>
      <c r="F1068" s="29">
        <f>F1069+F1075+F1102</f>
        <v>243548.8</v>
      </c>
      <c r="H1068" s="6"/>
    </row>
    <row r="1069" spans="1:6" ht="15.75" customHeight="1">
      <c r="A1069" s="59" t="s">
        <v>128</v>
      </c>
      <c r="B1069" s="87">
        <v>1001</v>
      </c>
      <c r="C1069" s="63"/>
      <c r="D1069" s="65"/>
      <c r="E1069" s="11">
        <f>E1070</f>
        <v>15959.1</v>
      </c>
      <c r="F1069" s="11"/>
    </row>
    <row r="1070" spans="1:8" ht="18" customHeight="1">
      <c r="A1070" s="36" t="s">
        <v>245</v>
      </c>
      <c r="B1070" s="88">
        <v>1001</v>
      </c>
      <c r="C1070" s="10" t="s">
        <v>20</v>
      </c>
      <c r="D1070" s="38"/>
      <c r="E1070" s="45">
        <f>E1071</f>
        <v>15959.1</v>
      </c>
      <c r="F1070" s="45"/>
      <c r="G1070" s="7"/>
      <c r="H1070" s="8"/>
    </row>
    <row r="1071" spans="1:8" ht="51.75" customHeight="1">
      <c r="A1071" s="36" t="s">
        <v>242</v>
      </c>
      <c r="B1071" s="88">
        <v>1001</v>
      </c>
      <c r="C1071" s="10" t="s">
        <v>27</v>
      </c>
      <c r="D1071" s="38"/>
      <c r="E1071" s="45">
        <f>E1073</f>
        <v>15959.1</v>
      </c>
      <c r="F1071" s="45"/>
      <c r="G1071" s="7"/>
      <c r="H1071" s="8"/>
    </row>
    <row r="1072" spans="1:8" ht="18.75" customHeight="1">
      <c r="A1072" s="41" t="s">
        <v>150</v>
      </c>
      <c r="B1072" s="88">
        <v>1001</v>
      </c>
      <c r="C1072" s="10" t="s">
        <v>28</v>
      </c>
      <c r="D1072" s="38"/>
      <c r="E1072" s="45">
        <f>E1073</f>
        <v>15959.1</v>
      </c>
      <c r="F1072" s="45"/>
      <c r="G1072" s="7"/>
      <c r="H1072" s="8"/>
    </row>
    <row r="1073" spans="1:6" ht="19.5" customHeight="1">
      <c r="A1073" s="51" t="s">
        <v>391</v>
      </c>
      <c r="B1073" s="89">
        <v>1001</v>
      </c>
      <c r="C1073" s="10" t="s">
        <v>28</v>
      </c>
      <c r="D1073" s="37" t="s">
        <v>347</v>
      </c>
      <c r="E1073" s="44">
        <f>E1074</f>
        <v>15959.1</v>
      </c>
      <c r="F1073" s="44"/>
    </row>
    <row r="1074" spans="1:6" ht="24" customHeight="1">
      <c r="A1074" s="41" t="s">
        <v>396</v>
      </c>
      <c r="B1074" s="88">
        <v>1001</v>
      </c>
      <c r="C1074" s="10" t="s">
        <v>28</v>
      </c>
      <c r="D1074" s="38" t="s">
        <v>395</v>
      </c>
      <c r="E1074" s="45">
        <f>16000-40.9</f>
        <v>15959.1</v>
      </c>
      <c r="F1074" s="45"/>
    </row>
    <row r="1075" spans="1:6" ht="18" customHeight="1">
      <c r="A1075" s="59" t="s">
        <v>130</v>
      </c>
      <c r="B1075" s="63" t="s">
        <v>131</v>
      </c>
      <c r="C1075" s="63"/>
      <c r="D1075" s="63"/>
      <c r="E1075" s="13">
        <f>E1099+E1080+E1076</f>
        <v>109041.09999999999</v>
      </c>
      <c r="F1075" s="13">
        <f>F1099+F1080+F1076</f>
        <v>108405.2</v>
      </c>
    </row>
    <row r="1076" spans="1:6" ht="78.75" customHeight="1">
      <c r="A1076" s="36" t="s">
        <v>269</v>
      </c>
      <c r="B1076" s="39" t="s">
        <v>131</v>
      </c>
      <c r="C1076" s="39" t="s">
        <v>36</v>
      </c>
      <c r="D1076" s="39"/>
      <c r="E1076" s="40">
        <f aca="true" t="shared" si="8" ref="E1076:F1078">E1077</f>
        <v>2789.4</v>
      </c>
      <c r="F1076" s="40">
        <f t="shared" si="8"/>
        <v>2156.2</v>
      </c>
    </row>
    <row r="1077" spans="1:6" ht="32.25" customHeight="1">
      <c r="A1077" s="36" t="s">
        <v>695</v>
      </c>
      <c r="B1077" s="39" t="s">
        <v>131</v>
      </c>
      <c r="C1077" s="39" t="s">
        <v>491</v>
      </c>
      <c r="D1077" s="63"/>
      <c r="E1077" s="40">
        <f t="shared" si="8"/>
        <v>2789.4</v>
      </c>
      <c r="F1077" s="40">
        <f t="shared" si="8"/>
        <v>2156.2</v>
      </c>
    </row>
    <row r="1078" spans="1:6" ht="22.5" customHeight="1">
      <c r="A1078" s="51" t="s">
        <v>391</v>
      </c>
      <c r="B1078" s="39" t="s">
        <v>131</v>
      </c>
      <c r="C1078" s="39" t="s">
        <v>491</v>
      </c>
      <c r="D1078" s="37" t="s">
        <v>347</v>
      </c>
      <c r="E1078" s="40">
        <f t="shared" si="8"/>
        <v>2789.4</v>
      </c>
      <c r="F1078" s="40">
        <f t="shared" si="8"/>
        <v>2156.2</v>
      </c>
    </row>
    <row r="1079" spans="1:6" ht="30" customHeight="1">
      <c r="A1079" s="51" t="s">
        <v>54</v>
      </c>
      <c r="B1079" s="39" t="s">
        <v>131</v>
      </c>
      <c r="C1079" s="39" t="s">
        <v>491</v>
      </c>
      <c r="D1079" s="38" t="s">
        <v>53</v>
      </c>
      <c r="E1079" s="40">
        <f>1106+1164.3+991.9-472.8</f>
        <v>2789.4</v>
      </c>
      <c r="F1079" s="40">
        <v>2156.2</v>
      </c>
    </row>
    <row r="1080" spans="1:6" ht="36.75" customHeight="1">
      <c r="A1080" s="36" t="s">
        <v>5</v>
      </c>
      <c r="B1080" s="39" t="s">
        <v>131</v>
      </c>
      <c r="C1080" s="39" t="s">
        <v>180</v>
      </c>
      <c r="D1080" s="39"/>
      <c r="E1080" s="40">
        <f>E1088+E1081+E1092</f>
        <v>4727.7</v>
      </c>
      <c r="F1080" s="40">
        <f>F1088+F1081+F1092</f>
        <v>4725</v>
      </c>
    </row>
    <row r="1081" spans="1:6" ht="23.25" customHeight="1">
      <c r="A1081" s="60" t="s">
        <v>301</v>
      </c>
      <c r="B1081" s="39" t="s">
        <v>131</v>
      </c>
      <c r="C1081" s="39" t="s">
        <v>220</v>
      </c>
      <c r="D1081" s="39"/>
      <c r="E1081" s="40">
        <f>E1085+E1082</f>
        <v>266.7</v>
      </c>
      <c r="F1081" s="40">
        <f>F1085+F1082</f>
        <v>264</v>
      </c>
    </row>
    <row r="1082" spans="1:6" ht="30" customHeight="1">
      <c r="A1082" s="51" t="s">
        <v>677</v>
      </c>
      <c r="B1082" s="39" t="s">
        <v>131</v>
      </c>
      <c r="C1082" s="39" t="s">
        <v>248</v>
      </c>
      <c r="D1082" s="39"/>
      <c r="E1082" s="40">
        <f>E1083</f>
        <v>264</v>
      </c>
      <c r="F1082" s="40">
        <f>F1083</f>
        <v>264</v>
      </c>
    </row>
    <row r="1083" spans="1:6" ht="23.25" customHeight="1">
      <c r="A1083" s="51" t="s">
        <v>391</v>
      </c>
      <c r="B1083" s="39" t="s">
        <v>131</v>
      </c>
      <c r="C1083" s="39" t="s">
        <v>248</v>
      </c>
      <c r="D1083" s="39" t="s">
        <v>347</v>
      </c>
      <c r="E1083" s="40">
        <f>E1084</f>
        <v>264</v>
      </c>
      <c r="F1083" s="40">
        <f>F1084</f>
        <v>264</v>
      </c>
    </row>
    <row r="1084" spans="1:6" ht="30" customHeight="1">
      <c r="A1084" s="51" t="s">
        <v>54</v>
      </c>
      <c r="B1084" s="39" t="s">
        <v>131</v>
      </c>
      <c r="C1084" s="39" t="s">
        <v>248</v>
      </c>
      <c r="D1084" s="39" t="s">
        <v>53</v>
      </c>
      <c r="E1084" s="40">
        <f>264</f>
        <v>264</v>
      </c>
      <c r="F1084" s="40">
        <f>E1084</f>
        <v>264</v>
      </c>
    </row>
    <row r="1085" spans="1:6" ht="36" customHeight="1">
      <c r="A1085" s="51" t="s">
        <v>493</v>
      </c>
      <c r="B1085" s="39" t="s">
        <v>131</v>
      </c>
      <c r="C1085" s="39" t="s">
        <v>248</v>
      </c>
      <c r="D1085" s="39"/>
      <c r="E1085" s="40">
        <f>E1086</f>
        <v>2.7</v>
      </c>
      <c r="F1085" s="40"/>
    </row>
    <row r="1086" spans="1:6" ht="23.25" customHeight="1">
      <c r="A1086" s="51" t="s">
        <v>391</v>
      </c>
      <c r="B1086" s="39" t="s">
        <v>131</v>
      </c>
      <c r="C1086" s="39" t="s">
        <v>248</v>
      </c>
      <c r="D1086" s="39" t="s">
        <v>347</v>
      </c>
      <c r="E1086" s="40">
        <f>E1087</f>
        <v>2.7</v>
      </c>
      <c r="F1086" s="40"/>
    </row>
    <row r="1087" spans="1:6" ht="33.75" customHeight="1">
      <c r="A1087" s="51" t="s">
        <v>54</v>
      </c>
      <c r="B1087" s="39" t="s">
        <v>131</v>
      </c>
      <c r="C1087" s="39" t="s">
        <v>248</v>
      </c>
      <c r="D1087" s="39" t="s">
        <v>53</v>
      </c>
      <c r="E1087" s="40">
        <v>2.7</v>
      </c>
      <c r="F1087" s="40"/>
    </row>
    <row r="1088" spans="1:6" ht="35.25" customHeight="1">
      <c r="A1088" s="60" t="s">
        <v>296</v>
      </c>
      <c r="B1088" s="39" t="s">
        <v>131</v>
      </c>
      <c r="C1088" s="39" t="s">
        <v>330</v>
      </c>
      <c r="D1088" s="39"/>
      <c r="E1088" s="40">
        <f>E1089</f>
        <v>0</v>
      </c>
      <c r="F1088" s="40">
        <f>F1089</f>
        <v>0</v>
      </c>
    </row>
    <row r="1089" spans="1:6" ht="67.5" customHeight="1">
      <c r="A1089" s="51" t="s">
        <v>221</v>
      </c>
      <c r="B1089" s="39" t="s">
        <v>131</v>
      </c>
      <c r="C1089" s="39" t="s">
        <v>297</v>
      </c>
      <c r="D1089" s="39"/>
      <c r="E1089" s="40">
        <f>E1090</f>
        <v>0</v>
      </c>
      <c r="F1089" s="40"/>
    </row>
    <row r="1090" spans="1:6" ht="24" customHeight="1">
      <c r="A1090" s="51" t="s">
        <v>391</v>
      </c>
      <c r="B1090" s="39" t="s">
        <v>131</v>
      </c>
      <c r="C1090" s="39" t="s">
        <v>297</v>
      </c>
      <c r="D1090" s="39" t="s">
        <v>347</v>
      </c>
      <c r="E1090" s="40">
        <f>E1091</f>
        <v>0</v>
      </c>
      <c r="F1090" s="40"/>
    </row>
    <row r="1091" spans="1:6" ht="33" customHeight="1">
      <c r="A1091" s="51" t="s">
        <v>54</v>
      </c>
      <c r="B1091" s="39" t="s">
        <v>131</v>
      </c>
      <c r="C1091" s="39" t="s">
        <v>297</v>
      </c>
      <c r="D1091" s="39" t="s">
        <v>53</v>
      </c>
      <c r="E1091" s="40">
        <f>96-96</f>
        <v>0</v>
      </c>
      <c r="F1091" s="40"/>
    </row>
    <row r="1092" spans="1:6" ht="44.25" customHeight="1">
      <c r="A1092" s="51" t="s">
        <v>299</v>
      </c>
      <c r="B1092" s="39" t="s">
        <v>131</v>
      </c>
      <c r="C1092" s="39" t="s">
        <v>298</v>
      </c>
      <c r="D1092" s="39"/>
      <c r="E1092" s="40">
        <f>E1096+E1093</f>
        <v>4461</v>
      </c>
      <c r="F1092" s="40">
        <f>F1096+F1093</f>
        <v>4461</v>
      </c>
    </row>
    <row r="1093" spans="1:6" ht="92.25" customHeight="1">
      <c r="A1093" s="51" t="s">
        <v>628</v>
      </c>
      <c r="B1093" s="39" t="s">
        <v>131</v>
      </c>
      <c r="C1093" s="39" t="s">
        <v>503</v>
      </c>
      <c r="D1093" s="39"/>
      <c r="E1093" s="40">
        <f>E1094</f>
        <v>2204</v>
      </c>
      <c r="F1093" s="40">
        <f>F1094</f>
        <v>2204</v>
      </c>
    </row>
    <row r="1094" spans="1:6" ht="21" customHeight="1">
      <c r="A1094" s="51" t="s">
        <v>391</v>
      </c>
      <c r="B1094" s="39" t="s">
        <v>131</v>
      </c>
      <c r="C1094" s="39" t="s">
        <v>503</v>
      </c>
      <c r="D1094" s="39" t="s">
        <v>347</v>
      </c>
      <c r="E1094" s="40">
        <f>E1095</f>
        <v>2204</v>
      </c>
      <c r="F1094" s="40">
        <f>F1095</f>
        <v>2204</v>
      </c>
    </row>
    <row r="1095" spans="1:6" ht="35.25" customHeight="1">
      <c r="A1095" s="51" t="s">
        <v>54</v>
      </c>
      <c r="B1095" s="39" t="s">
        <v>131</v>
      </c>
      <c r="C1095" s="39" t="s">
        <v>503</v>
      </c>
      <c r="D1095" s="39" t="s">
        <v>53</v>
      </c>
      <c r="E1095" s="40">
        <f>1112-10+1102</f>
        <v>2204</v>
      </c>
      <c r="F1095" s="40">
        <f>E1095</f>
        <v>2204</v>
      </c>
    </row>
    <row r="1096" spans="1:6" ht="120" customHeight="1">
      <c r="A1096" s="102" t="s">
        <v>517</v>
      </c>
      <c r="B1096" s="39" t="s">
        <v>131</v>
      </c>
      <c r="C1096" s="39" t="s">
        <v>516</v>
      </c>
      <c r="D1096" s="39"/>
      <c r="E1096" s="40">
        <f>E1097</f>
        <v>2257</v>
      </c>
      <c r="F1096" s="40">
        <f>F1097</f>
        <v>2257</v>
      </c>
    </row>
    <row r="1097" spans="1:6" ht="25.5" customHeight="1">
      <c r="A1097" s="51" t="s">
        <v>391</v>
      </c>
      <c r="B1097" s="39" t="s">
        <v>131</v>
      </c>
      <c r="C1097" s="39" t="s">
        <v>516</v>
      </c>
      <c r="D1097" s="39" t="s">
        <v>347</v>
      </c>
      <c r="E1097" s="40">
        <f>E1098</f>
        <v>2257</v>
      </c>
      <c r="F1097" s="40">
        <f>F1098</f>
        <v>2257</v>
      </c>
    </row>
    <row r="1098" spans="1:6" ht="33" customHeight="1">
      <c r="A1098" s="51" t="s">
        <v>54</v>
      </c>
      <c r="B1098" s="39" t="s">
        <v>131</v>
      </c>
      <c r="C1098" s="39" t="s">
        <v>516</v>
      </c>
      <c r="D1098" s="39" t="s">
        <v>53</v>
      </c>
      <c r="E1098" s="40">
        <f>2439-182</f>
        <v>2257</v>
      </c>
      <c r="F1098" s="40">
        <f>E1098</f>
        <v>2257</v>
      </c>
    </row>
    <row r="1099" spans="1:6" ht="60.75" customHeight="1">
      <c r="A1099" s="41" t="s">
        <v>0</v>
      </c>
      <c r="B1099" s="39" t="s">
        <v>131</v>
      </c>
      <c r="C1099" s="39" t="s">
        <v>461</v>
      </c>
      <c r="D1099" s="39"/>
      <c r="E1099" s="40">
        <f>E1101</f>
        <v>101524</v>
      </c>
      <c r="F1099" s="40">
        <f>F1101</f>
        <v>101524</v>
      </c>
    </row>
    <row r="1100" spans="1:6" ht="24" customHeight="1">
      <c r="A1100" s="51" t="s">
        <v>391</v>
      </c>
      <c r="B1100" s="39" t="s">
        <v>131</v>
      </c>
      <c r="C1100" s="39" t="s">
        <v>461</v>
      </c>
      <c r="D1100" s="39" t="s">
        <v>347</v>
      </c>
      <c r="E1100" s="40">
        <f>E1101</f>
        <v>101524</v>
      </c>
      <c r="F1100" s="40">
        <f>F1101</f>
        <v>101524</v>
      </c>
    </row>
    <row r="1101" spans="1:6" ht="31.5" customHeight="1">
      <c r="A1101" s="41" t="s">
        <v>54</v>
      </c>
      <c r="B1101" s="39" t="s">
        <v>131</v>
      </c>
      <c r="C1101" s="39" t="s">
        <v>461</v>
      </c>
      <c r="D1101" s="39" t="s">
        <v>53</v>
      </c>
      <c r="E1101" s="40">
        <f>115524-14000</f>
        <v>101524</v>
      </c>
      <c r="F1101" s="40">
        <f>E1101</f>
        <v>101524</v>
      </c>
    </row>
    <row r="1102" spans="1:6" ht="22.5" customHeight="1">
      <c r="A1102" s="59" t="s">
        <v>59</v>
      </c>
      <c r="B1102" s="63" t="s">
        <v>129</v>
      </c>
      <c r="C1102" s="63"/>
      <c r="D1102" s="63"/>
      <c r="E1102" s="13">
        <f>E1103+E1109</f>
        <v>136683.6</v>
      </c>
      <c r="F1102" s="13">
        <f>F1103+F1109</f>
        <v>135143.6</v>
      </c>
    </row>
    <row r="1103" spans="1:6" ht="24" customHeight="1">
      <c r="A1103" s="41" t="s">
        <v>163</v>
      </c>
      <c r="B1103" s="39" t="s">
        <v>129</v>
      </c>
      <c r="C1103" s="39" t="s">
        <v>136</v>
      </c>
      <c r="D1103" s="39"/>
      <c r="E1103" s="40">
        <f>E1104</f>
        <v>75548</v>
      </c>
      <c r="F1103" s="40">
        <f>F1104</f>
        <v>75548</v>
      </c>
    </row>
    <row r="1104" spans="1:6" ht="77.25" customHeight="1">
      <c r="A1104" s="51" t="s">
        <v>277</v>
      </c>
      <c r="B1104" s="39" t="s">
        <v>129</v>
      </c>
      <c r="C1104" s="39" t="s">
        <v>437</v>
      </c>
      <c r="D1104" s="39"/>
      <c r="E1104" s="40">
        <f>E1107+E1105</f>
        <v>75548</v>
      </c>
      <c r="F1104" s="40">
        <f>F1107+F1105</f>
        <v>75548</v>
      </c>
    </row>
    <row r="1105" spans="1:6" ht="23.25" customHeight="1">
      <c r="A1105" s="46" t="s">
        <v>174</v>
      </c>
      <c r="B1105" s="39" t="s">
        <v>129</v>
      </c>
      <c r="C1105" s="39" t="s">
        <v>437</v>
      </c>
      <c r="D1105" s="39" t="s">
        <v>173</v>
      </c>
      <c r="E1105" s="40">
        <f>E1106</f>
        <v>748</v>
      </c>
      <c r="F1105" s="40">
        <f>F1106</f>
        <v>748</v>
      </c>
    </row>
    <row r="1106" spans="1:6" ht="32.25" customHeight="1">
      <c r="A1106" s="46" t="s">
        <v>176</v>
      </c>
      <c r="B1106" s="39" t="s">
        <v>129</v>
      </c>
      <c r="C1106" s="39" t="s">
        <v>437</v>
      </c>
      <c r="D1106" s="39" t="s">
        <v>175</v>
      </c>
      <c r="E1106" s="40">
        <f>831-83</f>
        <v>748</v>
      </c>
      <c r="F1106" s="40">
        <f>E1106</f>
        <v>748</v>
      </c>
    </row>
    <row r="1107" spans="1:6" ht="24.75" customHeight="1">
      <c r="A1107" s="51" t="s">
        <v>391</v>
      </c>
      <c r="B1107" s="39" t="s">
        <v>129</v>
      </c>
      <c r="C1107" s="39" t="s">
        <v>437</v>
      </c>
      <c r="D1107" s="39" t="s">
        <v>347</v>
      </c>
      <c r="E1107" s="40">
        <f>E1108</f>
        <v>74800</v>
      </c>
      <c r="F1107" s="40">
        <f>F1108</f>
        <v>74800</v>
      </c>
    </row>
    <row r="1108" spans="1:6" ht="25.5" customHeight="1">
      <c r="A1108" s="51" t="s">
        <v>396</v>
      </c>
      <c r="B1108" s="39" t="s">
        <v>129</v>
      </c>
      <c r="C1108" s="39" t="s">
        <v>437</v>
      </c>
      <c r="D1108" s="39" t="s">
        <v>395</v>
      </c>
      <c r="E1108" s="40">
        <f>83112-8312</f>
        <v>74800</v>
      </c>
      <c r="F1108" s="40">
        <f>E1108</f>
        <v>74800</v>
      </c>
    </row>
    <row r="1109" spans="1:6" ht="40.5" customHeight="1">
      <c r="A1109" s="60" t="s">
        <v>5</v>
      </c>
      <c r="B1109" s="39" t="s">
        <v>129</v>
      </c>
      <c r="C1109" s="39" t="s">
        <v>180</v>
      </c>
      <c r="D1109" s="39"/>
      <c r="E1109" s="40">
        <f>E1114+E1110</f>
        <v>61135.6</v>
      </c>
      <c r="F1109" s="40">
        <f>F1114+F1110</f>
        <v>59595.6</v>
      </c>
    </row>
    <row r="1110" spans="1:6" ht="22.5" customHeight="1">
      <c r="A1110" s="41" t="s">
        <v>295</v>
      </c>
      <c r="B1110" s="39" t="s">
        <v>129</v>
      </c>
      <c r="C1110" s="39" t="s">
        <v>181</v>
      </c>
      <c r="D1110" s="39"/>
      <c r="E1110" s="40">
        <f>E1112</f>
        <v>2964.6000000000004</v>
      </c>
      <c r="F1110" s="40">
        <f>F1112</f>
        <v>1424.6</v>
      </c>
    </row>
    <row r="1111" spans="1:6" ht="30.75" customHeight="1">
      <c r="A1111" s="51" t="s">
        <v>504</v>
      </c>
      <c r="B1111" s="39" t="s">
        <v>129</v>
      </c>
      <c r="C1111" s="39" t="s">
        <v>484</v>
      </c>
      <c r="D1111" s="39"/>
      <c r="E1111" s="40">
        <f>E1112</f>
        <v>2964.6000000000004</v>
      </c>
      <c r="F1111" s="40">
        <f>F1112</f>
        <v>1424.6</v>
      </c>
    </row>
    <row r="1112" spans="1:6" ht="18" customHeight="1">
      <c r="A1112" s="51" t="s">
        <v>391</v>
      </c>
      <c r="B1112" s="39" t="s">
        <v>129</v>
      </c>
      <c r="C1112" s="39" t="s">
        <v>484</v>
      </c>
      <c r="D1112" s="39" t="s">
        <v>347</v>
      </c>
      <c r="E1112" s="40">
        <f>E1113</f>
        <v>2964.6000000000004</v>
      </c>
      <c r="F1112" s="40">
        <f>F1113</f>
        <v>1424.6</v>
      </c>
    </row>
    <row r="1113" spans="1:6" ht="32.25" customHeight="1">
      <c r="A1113" s="51" t="s">
        <v>54</v>
      </c>
      <c r="B1113" s="39" t="s">
        <v>129</v>
      </c>
      <c r="C1113" s="39" t="s">
        <v>484</v>
      </c>
      <c r="D1113" s="39" t="s">
        <v>53</v>
      </c>
      <c r="E1113" s="40">
        <f>1540+1123.3+301.3</f>
        <v>2964.6000000000004</v>
      </c>
      <c r="F1113" s="40">
        <f>301.3+1123.3</f>
        <v>1424.6</v>
      </c>
    </row>
    <row r="1114" spans="1:6" ht="49.5" customHeight="1">
      <c r="A1114" s="60" t="s">
        <v>532</v>
      </c>
      <c r="B1114" s="39" t="s">
        <v>129</v>
      </c>
      <c r="C1114" s="39" t="s">
        <v>300</v>
      </c>
      <c r="D1114" s="39"/>
      <c r="E1114" s="40">
        <f>E1115</f>
        <v>58171</v>
      </c>
      <c r="F1114" s="40">
        <f aca="true" t="shared" si="9" ref="E1114:F1116">F1115</f>
        <v>58171</v>
      </c>
    </row>
    <row r="1115" spans="1:6" ht="75.75" customHeight="1">
      <c r="A1115" s="41" t="s">
        <v>487</v>
      </c>
      <c r="B1115" s="39" t="s">
        <v>129</v>
      </c>
      <c r="C1115" s="39" t="s">
        <v>439</v>
      </c>
      <c r="D1115" s="39"/>
      <c r="E1115" s="40">
        <f t="shared" si="9"/>
        <v>58171</v>
      </c>
      <c r="F1115" s="40">
        <f t="shared" si="9"/>
        <v>58171</v>
      </c>
    </row>
    <row r="1116" spans="1:6" ht="36" customHeight="1">
      <c r="A1116" s="46" t="s">
        <v>325</v>
      </c>
      <c r="B1116" s="39" t="s">
        <v>129</v>
      </c>
      <c r="C1116" s="39" t="s">
        <v>439</v>
      </c>
      <c r="D1116" s="39" t="s">
        <v>392</v>
      </c>
      <c r="E1116" s="40">
        <f t="shared" si="9"/>
        <v>58171</v>
      </c>
      <c r="F1116" s="40">
        <f t="shared" si="9"/>
        <v>58171</v>
      </c>
    </row>
    <row r="1117" spans="1:6" ht="23.25" customHeight="1">
      <c r="A1117" s="41" t="s">
        <v>393</v>
      </c>
      <c r="B1117" s="39" t="s">
        <v>129</v>
      </c>
      <c r="C1117" s="39" t="s">
        <v>439</v>
      </c>
      <c r="D1117" s="39" t="s">
        <v>397</v>
      </c>
      <c r="E1117" s="40">
        <f>44210+13961</f>
        <v>58171</v>
      </c>
      <c r="F1117" s="40">
        <f>E1117</f>
        <v>58171</v>
      </c>
    </row>
    <row r="1118" spans="1:8" s="4" customFormat="1" ht="22.5" customHeight="1">
      <c r="A1118" s="21" t="s">
        <v>61</v>
      </c>
      <c r="B1118" s="19" t="s">
        <v>82</v>
      </c>
      <c r="C1118" s="19"/>
      <c r="D1118" s="19"/>
      <c r="E1118" s="20">
        <f>E1119+E1159</f>
        <v>183474.50000000003</v>
      </c>
      <c r="F1118" s="20">
        <f>F1119+F1159</f>
        <v>7152</v>
      </c>
      <c r="H1118" s="119"/>
    </row>
    <row r="1119" spans="1:6" ht="18.75" customHeight="1">
      <c r="A1119" s="59" t="s">
        <v>69</v>
      </c>
      <c r="B1119" s="63" t="s">
        <v>70</v>
      </c>
      <c r="C1119" s="63"/>
      <c r="D1119" s="65"/>
      <c r="E1119" s="13">
        <f>E1120+E1152</f>
        <v>178474.50000000003</v>
      </c>
      <c r="F1119" s="13">
        <f>F1120+F1152</f>
        <v>3287</v>
      </c>
    </row>
    <row r="1120" spans="1:6" ht="57" customHeight="1">
      <c r="A1120" s="52" t="s">
        <v>274</v>
      </c>
      <c r="B1120" s="39" t="s">
        <v>70</v>
      </c>
      <c r="C1120" s="10" t="s">
        <v>366</v>
      </c>
      <c r="D1120" s="10"/>
      <c r="E1120" s="40">
        <f>E1121+E1148</f>
        <v>175974.50000000003</v>
      </c>
      <c r="F1120" s="40">
        <f>F1121</f>
        <v>1537</v>
      </c>
    </row>
    <row r="1121" spans="1:6" ht="22.5" customHeight="1">
      <c r="A1121" s="60" t="s">
        <v>283</v>
      </c>
      <c r="B1121" s="39" t="s">
        <v>70</v>
      </c>
      <c r="C1121" s="39" t="s">
        <v>390</v>
      </c>
      <c r="D1121" s="39"/>
      <c r="E1121" s="40">
        <f>E1122+E1141</f>
        <v>175961.40000000002</v>
      </c>
      <c r="F1121" s="40">
        <f>F1122+F1141</f>
        <v>1537</v>
      </c>
    </row>
    <row r="1122" spans="1:6" ht="36" customHeight="1">
      <c r="A1122" s="60" t="s">
        <v>308</v>
      </c>
      <c r="B1122" s="39" t="s">
        <v>70</v>
      </c>
      <c r="C1122" s="10" t="s">
        <v>309</v>
      </c>
      <c r="D1122" s="10"/>
      <c r="E1122" s="40">
        <f>E1123+E1126+E1132+E1138+E1129+E1135</f>
        <v>169951.40000000002</v>
      </c>
      <c r="F1122" s="40">
        <f>F1123+F1126+F1132+F1138</f>
        <v>637</v>
      </c>
    </row>
    <row r="1123" spans="1:6" ht="36" customHeight="1">
      <c r="A1123" s="60" t="s">
        <v>258</v>
      </c>
      <c r="B1123" s="39" t="s">
        <v>70</v>
      </c>
      <c r="C1123" s="10" t="s">
        <v>305</v>
      </c>
      <c r="D1123" s="10"/>
      <c r="E1123" s="40">
        <f>E1124</f>
        <v>4895.299999999999</v>
      </c>
      <c r="F1123" s="40"/>
    </row>
    <row r="1124" spans="1:6" ht="36" customHeight="1">
      <c r="A1124" s="60" t="s">
        <v>339</v>
      </c>
      <c r="B1124" s="39" t="s">
        <v>70</v>
      </c>
      <c r="C1124" s="10" t="s">
        <v>305</v>
      </c>
      <c r="D1124" s="10" t="s">
        <v>338</v>
      </c>
      <c r="E1124" s="40">
        <f>E1125</f>
        <v>4895.299999999999</v>
      </c>
      <c r="F1124" s="40"/>
    </row>
    <row r="1125" spans="1:6" ht="24.75" customHeight="1">
      <c r="A1125" s="60" t="s">
        <v>337</v>
      </c>
      <c r="B1125" s="39" t="s">
        <v>70</v>
      </c>
      <c r="C1125" s="10" t="s">
        <v>305</v>
      </c>
      <c r="D1125" s="10" t="s">
        <v>336</v>
      </c>
      <c r="E1125" s="40">
        <f>3670.9+447+777.4</f>
        <v>4895.299999999999</v>
      </c>
      <c r="F1125" s="40"/>
    </row>
    <row r="1126" spans="1:6" ht="36" customHeight="1">
      <c r="A1126" s="60" t="s">
        <v>259</v>
      </c>
      <c r="B1126" s="39" t="s">
        <v>70</v>
      </c>
      <c r="C1126" s="10" t="s">
        <v>306</v>
      </c>
      <c r="D1126" s="10"/>
      <c r="E1126" s="40">
        <f>E1127</f>
        <v>30045.4</v>
      </c>
      <c r="F1126" s="40"/>
    </row>
    <row r="1127" spans="1:6" ht="40.5" customHeight="1">
      <c r="A1127" s="60" t="s">
        <v>339</v>
      </c>
      <c r="B1127" s="39" t="s">
        <v>70</v>
      </c>
      <c r="C1127" s="10" t="s">
        <v>306</v>
      </c>
      <c r="D1127" s="10" t="s">
        <v>338</v>
      </c>
      <c r="E1127" s="40">
        <f>E1128</f>
        <v>30045.4</v>
      </c>
      <c r="F1127" s="40"/>
    </row>
    <row r="1128" spans="1:6" ht="20.25" customHeight="1">
      <c r="A1128" s="60" t="s">
        <v>342</v>
      </c>
      <c r="B1128" s="39" t="s">
        <v>70</v>
      </c>
      <c r="C1128" s="10" t="s">
        <v>306</v>
      </c>
      <c r="D1128" s="10" t="s">
        <v>341</v>
      </c>
      <c r="E1128" s="40">
        <f>24676.4+920+4000+449</f>
        <v>30045.4</v>
      </c>
      <c r="F1128" s="40"/>
    </row>
    <row r="1129" spans="1:6" ht="23.25" customHeight="1">
      <c r="A1129" s="60" t="s">
        <v>168</v>
      </c>
      <c r="B1129" s="39" t="s">
        <v>70</v>
      </c>
      <c r="C1129" s="10" t="s">
        <v>531</v>
      </c>
      <c r="D1129" s="10"/>
      <c r="E1129" s="40">
        <f>E1130</f>
        <v>980</v>
      </c>
      <c r="F1129" s="40"/>
    </row>
    <row r="1130" spans="1:6" ht="33" customHeight="1">
      <c r="A1130" s="60" t="s">
        <v>339</v>
      </c>
      <c r="B1130" s="39" t="s">
        <v>70</v>
      </c>
      <c r="C1130" s="10" t="s">
        <v>531</v>
      </c>
      <c r="D1130" s="10" t="s">
        <v>338</v>
      </c>
      <c r="E1130" s="40">
        <f>E1131</f>
        <v>980</v>
      </c>
      <c r="F1130" s="40"/>
    </row>
    <row r="1131" spans="1:6" ht="20.25" customHeight="1">
      <c r="A1131" s="60" t="s">
        <v>342</v>
      </c>
      <c r="B1131" s="39" t="s">
        <v>70</v>
      </c>
      <c r="C1131" s="10" t="s">
        <v>531</v>
      </c>
      <c r="D1131" s="10" t="s">
        <v>341</v>
      </c>
      <c r="E1131" s="40">
        <f>480+500</f>
        <v>980</v>
      </c>
      <c r="F1131" s="40"/>
    </row>
    <row r="1132" spans="1:6" ht="31.5" customHeight="1">
      <c r="A1132" s="60" t="s">
        <v>323</v>
      </c>
      <c r="B1132" s="39" t="s">
        <v>70</v>
      </c>
      <c r="C1132" s="10" t="s">
        <v>307</v>
      </c>
      <c r="D1132" s="10"/>
      <c r="E1132" s="40">
        <f>E1133</f>
        <v>125762.70000000001</v>
      </c>
      <c r="F1132" s="40">
        <f>F1133</f>
        <v>0</v>
      </c>
    </row>
    <row r="1133" spans="1:6" ht="31.5" customHeight="1">
      <c r="A1133" s="60" t="s">
        <v>339</v>
      </c>
      <c r="B1133" s="39" t="s">
        <v>70</v>
      </c>
      <c r="C1133" s="10" t="s">
        <v>307</v>
      </c>
      <c r="D1133" s="10" t="s">
        <v>338</v>
      </c>
      <c r="E1133" s="40">
        <f>E1134</f>
        <v>125762.70000000001</v>
      </c>
      <c r="F1133" s="40"/>
    </row>
    <row r="1134" spans="1:6" ht="19.5" customHeight="1">
      <c r="A1134" s="60" t="s">
        <v>337</v>
      </c>
      <c r="B1134" s="39" t="s">
        <v>70</v>
      </c>
      <c r="C1134" s="10" t="s">
        <v>307</v>
      </c>
      <c r="D1134" s="10" t="s">
        <v>336</v>
      </c>
      <c r="E1134" s="40">
        <f>120727.7-398+7631+4733-7631+100+600</f>
        <v>125762.70000000001</v>
      </c>
      <c r="F1134" s="40"/>
    </row>
    <row r="1135" spans="1:6" ht="19.5" customHeight="1">
      <c r="A1135" s="42" t="s">
        <v>394</v>
      </c>
      <c r="B1135" s="39" t="s">
        <v>70</v>
      </c>
      <c r="C1135" s="10" t="s">
        <v>726</v>
      </c>
      <c r="D1135" s="10"/>
      <c r="E1135" s="40">
        <f>E1136</f>
        <v>7631</v>
      </c>
      <c r="F1135" s="40">
        <f>F1136</f>
        <v>0</v>
      </c>
    </row>
    <row r="1136" spans="1:6" ht="30" customHeight="1">
      <c r="A1136" s="60" t="s">
        <v>339</v>
      </c>
      <c r="B1136" s="39" t="s">
        <v>70</v>
      </c>
      <c r="C1136" s="10" t="s">
        <v>726</v>
      </c>
      <c r="D1136" s="10" t="s">
        <v>338</v>
      </c>
      <c r="E1136" s="40">
        <f>E1137</f>
        <v>7631</v>
      </c>
      <c r="F1136" s="40"/>
    </row>
    <row r="1137" spans="1:6" ht="19.5" customHeight="1">
      <c r="A1137" s="60" t="s">
        <v>337</v>
      </c>
      <c r="B1137" s="39" t="s">
        <v>70</v>
      </c>
      <c r="C1137" s="10" t="s">
        <v>726</v>
      </c>
      <c r="D1137" s="10" t="s">
        <v>336</v>
      </c>
      <c r="E1137" s="40">
        <f>2250-0.2-59.8+5500-59</f>
        <v>7631</v>
      </c>
      <c r="F1137" s="40"/>
    </row>
    <row r="1138" spans="1:6" ht="46.5" customHeight="1">
      <c r="A1138" s="51" t="s">
        <v>636</v>
      </c>
      <c r="B1138" s="39" t="s">
        <v>70</v>
      </c>
      <c r="C1138" s="39" t="s">
        <v>638</v>
      </c>
      <c r="D1138" s="37"/>
      <c r="E1138" s="44">
        <f>E1139</f>
        <v>637</v>
      </c>
      <c r="F1138" s="44">
        <f>F1139</f>
        <v>637</v>
      </c>
    </row>
    <row r="1139" spans="1:6" ht="30.75" customHeight="1">
      <c r="A1139" s="60" t="s">
        <v>339</v>
      </c>
      <c r="B1139" s="39" t="s">
        <v>70</v>
      </c>
      <c r="C1139" s="39" t="s">
        <v>638</v>
      </c>
      <c r="D1139" s="37" t="s">
        <v>338</v>
      </c>
      <c r="E1139" s="44">
        <f>E1140</f>
        <v>637</v>
      </c>
      <c r="F1139" s="44">
        <f>F1140</f>
        <v>637</v>
      </c>
    </row>
    <row r="1140" spans="1:6" ht="19.5" customHeight="1">
      <c r="A1140" s="60" t="s">
        <v>337</v>
      </c>
      <c r="B1140" s="39" t="s">
        <v>70</v>
      </c>
      <c r="C1140" s="39" t="s">
        <v>638</v>
      </c>
      <c r="D1140" s="37" t="s">
        <v>336</v>
      </c>
      <c r="E1140" s="44">
        <f>480+157</f>
        <v>637</v>
      </c>
      <c r="F1140" s="44">
        <f>E1140</f>
        <v>637</v>
      </c>
    </row>
    <row r="1141" spans="1:6" ht="30.75" customHeight="1">
      <c r="A1141" s="60" t="s">
        <v>303</v>
      </c>
      <c r="B1141" s="39" t="s">
        <v>70</v>
      </c>
      <c r="C1141" s="10" t="s">
        <v>302</v>
      </c>
      <c r="D1141" s="10"/>
      <c r="E1141" s="40">
        <f>E1142+E1145</f>
        <v>6010</v>
      </c>
      <c r="F1141" s="40">
        <f>F1142+F1145</f>
        <v>900</v>
      </c>
    </row>
    <row r="1142" spans="1:6" ht="18.75" customHeight="1">
      <c r="A1142" s="60" t="s">
        <v>168</v>
      </c>
      <c r="B1142" s="39" t="s">
        <v>70</v>
      </c>
      <c r="C1142" s="10" t="s">
        <v>304</v>
      </c>
      <c r="D1142" s="10"/>
      <c r="E1142" s="40">
        <f>E1143</f>
        <v>5110</v>
      </c>
      <c r="F1142" s="40"/>
    </row>
    <row r="1143" spans="1:6" ht="30.75" customHeight="1">
      <c r="A1143" s="60" t="s">
        <v>339</v>
      </c>
      <c r="B1143" s="39" t="s">
        <v>70</v>
      </c>
      <c r="C1143" s="10" t="s">
        <v>304</v>
      </c>
      <c r="D1143" s="10" t="s">
        <v>338</v>
      </c>
      <c r="E1143" s="40">
        <f>E1144</f>
        <v>5110</v>
      </c>
      <c r="F1143" s="40"/>
    </row>
    <row r="1144" spans="1:6" ht="21" customHeight="1">
      <c r="A1144" s="60" t="s">
        <v>337</v>
      </c>
      <c r="B1144" s="39" t="s">
        <v>70</v>
      </c>
      <c r="C1144" s="10" t="s">
        <v>304</v>
      </c>
      <c r="D1144" s="10" t="s">
        <v>336</v>
      </c>
      <c r="E1144" s="40">
        <f>4960+150</f>
        <v>5110</v>
      </c>
      <c r="F1144" s="40"/>
    </row>
    <row r="1145" spans="1:6" ht="47.25" customHeight="1">
      <c r="A1145" s="51" t="s">
        <v>636</v>
      </c>
      <c r="B1145" s="39" t="s">
        <v>70</v>
      </c>
      <c r="C1145" s="39" t="s">
        <v>637</v>
      </c>
      <c r="D1145" s="37"/>
      <c r="E1145" s="44">
        <f>E1146</f>
        <v>900</v>
      </c>
      <c r="F1145" s="44">
        <f>F1146</f>
        <v>900</v>
      </c>
    </row>
    <row r="1146" spans="1:6" ht="30.75" customHeight="1">
      <c r="A1146" s="60" t="s">
        <v>339</v>
      </c>
      <c r="B1146" s="39" t="s">
        <v>70</v>
      </c>
      <c r="C1146" s="39" t="s">
        <v>637</v>
      </c>
      <c r="D1146" s="38" t="s">
        <v>338</v>
      </c>
      <c r="E1146" s="44">
        <f>E1147</f>
        <v>900</v>
      </c>
      <c r="F1146" s="44">
        <f>F1147</f>
        <v>900</v>
      </c>
    </row>
    <row r="1147" spans="1:6" ht="21" customHeight="1">
      <c r="A1147" s="60" t="s">
        <v>337</v>
      </c>
      <c r="B1147" s="39" t="s">
        <v>70</v>
      </c>
      <c r="C1147" s="39" t="s">
        <v>637</v>
      </c>
      <c r="D1147" s="38" t="s">
        <v>336</v>
      </c>
      <c r="E1147" s="44">
        <v>900</v>
      </c>
      <c r="F1147" s="44">
        <f>E1147</f>
        <v>900</v>
      </c>
    </row>
    <row r="1148" spans="1:6" ht="32.25" customHeight="1">
      <c r="A1148" s="60" t="s">
        <v>641</v>
      </c>
      <c r="B1148" s="39" t="s">
        <v>70</v>
      </c>
      <c r="C1148" s="10" t="s">
        <v>642</v>
      </c>
      <c r="D1148" s="10"/>
      <c r="E1148" s="44">
        <f>E1149</f>
        <v>13.1</v>
      </c>
      <c r="F1148" s="44"/>
    </row>
    <row r="1149" spans="1:6" ht="21" customHeight="1">
      <c r="A1149" s="42" t="s">
        <v>394</v>
      </c>
      <c r="B1149" s="39" t="s">
        <v>70</v>
      </c>
      <c r="C1149" s="10" t="s">
        <v>725</v>
      </c>
      <c r="D1149" s="38"/>
      <c r="E1149" s="44">
        <f>E1150</f>
        <v>13.1</v>
      </c>
      <c r="F1149" s="44"/>
    </row>
    <row r="1150" spans="1:6" ht="30.75" customHeight="1">
      <c r="A1150" s="60" t="s">
        <v>339</v>
      </c>
      <c r="B1150" s="39" t="s">
        <v>70</v>
      </c>
      <c r="C1150" s="10" t="s">
        <v>725</v>
      </c>
      <c r="D1150" s="38" t="s">
        <v>338</v>
      </c>
      <c r="E1150" s="44">
        <f>E1151</f>
        <v>13.1</v>
      </c>
      <c r="F1150" s="44"/>
    </row>
    <row r="1151" spans="1:6" ht="21" customHeight="1">
      <c r="A1151" s="60" t="s">
        <v>337</v>
      </c>
      <c r="B1151" s="39" t="s">
        <v>70</v>
      </c>
      <c r="C1151" s="10" t="s">
        <v>725</v>
      </c>
      <c r="D1151" s="38" t="s">
        <v>336</v>
      </c>
      <c r="E1151" s="44">
        <v>13.1</v>
      </c>
      <c r="F1151" s="44"/>
    </row>
    <row r="1152" spans="1:6" ht="21" customHeight="1">
      <c r="A1152" s="80" t="s">
        <v>247</v>
      </c>
      <c r="B1152" s="39" t="s">
        <v>70</v>
      </c>
      <c r="C1152" s="10" t="s">
        <v>367</v>
      </c>
      <c r="D1152" s="10"/>
      <c r="E1152" s="40">
        <f>E1153+E1156</f>
        <v>2500</v>
      </c>
      <c r="F1152" s="40">
        <f>F1153+F1156</f>
        <v>1750</v>
      </c>
    </row>
    <row r="1153" spans="1:6" ht="123" customHeight="1">
      <c r="A1153" s="42" t="s">
        <v>526</v>
      </c>
      <c r="B1153" s="39" t="s">
        <v>70</v>
      </c>
      <c r="C1153" s="10" t="s">
        <v>528</v>
      </c>
      <c r="D1153" s="10"/>
      <c r="E1153" s="40">
        <f>E1154</f>
        <v>1750</v>
      </c>
      <c r="F1153" s="40">
        <f>F1154</f>
        <v>1750</v>
      </c>
    </row>
    <row r="1154" spans="1:6" ht="33.75" customHeight="1">
      <c r="A1154" s="60" t="s">
        <v>339</v>
      </c>
      <c r="B1154" s="39" t="s">
        <v>70</v>
      </c>
      <c r="C1154" s="10" t="s">
        <v>528</v>
      </c>
      <c r="D1154" s="10" t="s">
        <v>338</v>
      </c>
      <c r="E1154" s="40">
        <f>E1155</f>
        <v>1750</v>
      </c>
      <c r="F1154" s="40">
        <f>F1155</f>
        <v>1750</v>
      </c>
    </row>
    <row r="1155" spans="1:6" ht="21.75" customHeight="1">
      <c r="A1155" s="60" t="s">
        <v>337</v>
      </c>
      <c r="B1155" s="39" t="s">
        <v>70</v>
      </c>
      <c r="C1155" s="10" t="s">
        <v>528</v>
      </c>
      <c r="D1155" s="10" t="s">
        <v>336</v>
      </c>
      <c r="E1155" s="40">
        <f>1750</f>
        <v>1750</v>
      </c>
      <c r="F1155" s="40">
        <f>1750</f>
        <v>1750</v>
      </c>
    </row>
    <row r="1156" spans="1:6" ht="126" customHeight="1">
      <c r="A1156" s="42" t="s">
        <v>525</v>
      </c>
      <c r="B1156" s="39" t="s">
        <v>70</v>
      </c>
      <c r="C1156" s="10" t="s">
        <v>528</v>
      </c>
      <c r="D1156" s="10"/>
      <c r="E1156" s="40">
        <f>E1157</f>
        <v>750</v>
      </c>
      <c r="F1156" s="40">
        <f>F1157</f>
        <v>0</v>
      </c>
    </row>
    <row r="1157" spans="1:6" ht="30.75" customHeight="1">
      <c r="A1157" s="60" t="s">
        <v>339</v>
      </c>
      <c r="B1157" s="39" t="s">
        <v>70</v>
      </c>
      <c r="C1157" s="10" t="s">
        <v>528</v>
      </c>
      <c r="D1157" s="10" t="s">
        <v>338</v>
      </c>
      <c r="E1157" s="40">
        <f>E1158</f>
        <v>750</v>
      </c>
      <c r="F1157" s="40"/>
    </row>
    <row r="1158" spans="1:6" ht="19.5" customHeight="1">
      <c r="A1158" s="60" t="s">
        <v>337</v>
      </c>
      <c r="B1158" s="39" t="s">
        <v>70</v>
      </c>
      <c r="C1158" s="10" t="s">
        <v>528</v>
      </c>
      <c r="D1158" s="10" t="s">
        <v>336</v>
      </c>
      <c r="E1158" s="40">
        <f>398+352</f>
        <v>750</v>
      </c>
      <c r="F1158" s="40"/>
    </row>
    <row r="1159" spans="1:6" ht="19.5" customHeight="1">
      <c r="A1159" s="21" t="s">
        <v>639</v>
      </c>
      <c r="B1159" s="19" t="s">
        <v>640</v>
      </c>
      <c r="C1159" s="19"/>
      <c r="D1159" s="19"/>
      <c r="E1159" s="20">
        <f>E1160</f>
        <v>5000</v>
      </c>
      <c r="F1159" s="20">
        <f>F1160</f>
        <v>3865</v>
      </c>
    </row>
    <row r="1160" spans="1:6" ht="33.75" customHeight="1">
      <c r="A1160" s="60" t="s">
        <v>641</v>
      </c>
      <c r="B1160" s="39" t="s">
        <v>640</v>
      </c>
      <c r="C1160" s="10" t="s">
        <v>642</v>
      </c>
      <c r="D1160" s="10"/>
      <c r="E1160" s="40">
        <f>E1164+E1161</f>
        <v>5000</v>
      </c>
      <c r="F1160" s="40">
        <f>F1164+F1161</f>
        <v>3865</v>
      </c>
    </row>
    <row r="1161" spans="1:6" ht="48.75" customHeight="1">
      <c r="A1161" s="36" t="s">
        <v>710</v>
      </c>
      <c r="B1161" s="39" t="s">
        <v>640</v>
      </c>
      <c r="C1161" s="10" t="s">
        <v>711</v>
      </c>
      <c r="D1161" s="10"/>
      <c r="E1161" s="40">
        <f>E1162</f>
        <v>3865</v>
      </c>
      <c r="F1161" s="40">
        <f>F1162</f>
        <v>3865</v>
      </c>
    </row>
    <row r="1162" spans="1:6" ht="33.75" customHeight="1">
      <c r="A1162" s="60" t="s">
        <v>339</v>
      </c>
      <c r="B1162" s="39" t="s">
        <v>640</v>
      </c>
      <c r="C1162" s="10" t="s">
        <v>711</v>
      </c>
      <c r="D1162" s="10" t="s">
        <v>338</v>
      </c>
      <c r="E1162" s="40">
        <f>E1163</f>
        <v>3865</v>
      </c>
      <c r="F1162" s="40">
        <f>F1163</f>
        <v>3865</v>
      </c>
    </row>
    <row r="1163" spans="1:6" ht="18" customHeight="1">
      <c r="A1163" s="60" t="s">
        <v>337</v>
      </c>
      <c r="B1163" s="39" t="s">
        <v>640</v>
      </c>
      <c r="C1163" s="10" t="s">
        <v>711</v>
      </c>
      <c r="D1163" s="10" t="s">
        <v>336</v>
      </c>
      <c r="E1163" s="40">
        <v>3865</v>
      </c>
      <c r="F1163" s="40">
        <v>3865</v>
      </c>
    </row>
    <row r="1164" spans="1:6" ht="63.75" customHeight="1">
      <c r="A1164" s="36" t="s">
        <v>643</v>
      </c>
      <c r="B1164" s="39" t="s">
        <v>640</v>
      </c>
      <c r="C1164" s="10" t="s">
        <v>711</v>
      </c>
      <c r="D1164" s="10"/>
      <c r="E1164" s="40">
        <f>E1165</f>
        <v>1135</v>
      </c>
      <c r="F1164" s="40"/>
    </row>
    <row r="1165" spans="1:6" ht="33" customHeight="1">
      <c r="A1165" s="60" t="s">
        <v>339</v>
      </c>
      <c r="B1165" s="39" t="s">
        <v>640</v>
      </c>
      <c r="C1165" s="10" t="s">
        <v>711</v>
      </c>
      <c r="D1165" s="10" t="s">
        <v>338</v>
      </c>
      <c r="E1165" s="40">
        <f>E1166</f>
        <v>1135</v>
      </c>
      <c r="F1165" s="40"/>
    </row>
    <row r="1166" spans="1:6" ht="19.5" customHeight="1">
      <c r="A1166" s="60" t="s">
        <v>337</v>
      </c>
      <c r="B1166" s="39" t="s">
        <v>640</v>
      </c>
      <c r="C1166" s="10" t="s">
        <v>711</v>
      </c>
      <c r="D1166" s="10" t="s">
        <v>336</v>
      </c>
      <c r="E1166" s="40">
        <v>1135</v>
      </c>
      <c r="F1166" s="40"/>
    </row>
    <row r="1167" spans="1:6" s="3" customFormat="1" ht="18" customHeight="1">
      <c r="A1167" s="21" t="s">
        <v>71</v>
      </c>
      <c r="B1167" s="19" t="s">
        <v>72</v>
      </c>
      <c r="C1167" s="19"/>
      <c r="D1167" s="19"/>
      <c r="E1167" s="20">
        <f>E1168</f>
        <v>54195</v>
      </c>
      <c r="F1167" s="20">
        <f>F1168</f>
        <v>1370</v>
      </c>
    </row>
    <row r="1168" spans="1:6" ht="62.25" customHeight="1">
      <c r="A1168" s="68" t="s">
        <v>275</v>
      </c>
      <c r="B1168" s="37" t="s">
        <v>72</v>
      </c>
      <c r="C1168" s="37" t="s">
        <v>349</v>
      </c>
      <c r="D1168" s="37"/>
      <c r="E1168" s="40">
        <f>E1169+E1176+E1185</f>
        <v>54195</v>
      </c>
      <c r="F1168" s="40">
        <f>F1169+F1176+F1185</f>
        <v>1370</v>
      </c>
    </row>
    <row r="1169" spans="1:6" ht="18.75" customHeight="1">
      <c r="A1169" s="59" t="s">
        <v>102</v>
      </c>
      <c r="B1169" s="65" t="s">
        <v>73</v>
      </c>
      <c r="C1169" s="65"/>
      <c r="D1169" s="65"/>
      <c r="E1169" s="13">
        <f>E1173+E1170</f>
        <v>32425</v>
      </c>
      <c r="F1169" s="13">
        <f>F1173+F1170</f>
        <v>900</v>
      </c>
    </row>
    <row r="1170" spans="1:6" ht="45.75" customHeight="1">
      <c r="A1170" s="51" t="s">
        <v>636</v>
      </c>
      <c r="B1170" s="38" t="s">
        <v>73</v>
      </c>
      <c r="C1170" s="39" t="s">
        <v>679</v>
      </c>
      <c r="D1170" s="37"/>
      <c r="E1170" s="44">
        <f>E1171</f>
        <v>900</v>
      </c>
      <c r="F1170" s="44">
        <f>F1171</f>
        <v>900</v>
      </c>
    </row>
    <row r="1171" spans="1:6" ht="31.5" customHeight="1">
      <c r="A1171" s="36" t="s">
        <v>339</v>
      </c>
      <c r="B1171" s="38" t="s">
        <v>73</v>
      </c>
      <c r="C1171" s="39" t="s">
        <v>679</v>
      </c>
      <c r="D1171" s="37" t="s">
        <v>338</v>
      </c>
      <c r="E1171" s="44">
        <f>E1172</f>
        <v>900</v>
      </c>
      <c r="F1171" s="44">
        <f>F1172</f>
        <v>900</v>
      </c>
    </row>
    <row r="1172" spans="1:6" ht="19.5" customHeight="1">
      <c r="A1172" s="43" t="s">
        <v>342</v>
      </c>
      <c r="B1172" s="38" t="s">
        <v>73</v>
      </c>
      <c r="C1172" s="39" t="s">
        <v>679</v>
      </c>
      <c r="D1172" s="37" t="s">
        <v>341</v>
      </c>
      <c r="E1172" s="44">
        <f>500+400</f>
        <v>900</v>
      </c>
      <c r="F1172" s="44">
        <f>E1172</f>
        <v>900</v>
      </c>
    </row>
    <row r="1173" spans="1:6" ht="30" customHeight="1">
      <c r="A1173" s="41" t="s">
        <v>164</v>
      </c>
      <c r="B1173" s="38" t="s">
        <v>73</v>
      </c>
      <c r="C1173" s="38" t="s">
        <v>350</v>
      </c>
      <c r="D1173" s="38"/>
      <c r="E1173" s="40">
        <f>E1174</f>
        <v>31525</v>
      </c>
      <c r="F1173" s="40"/>
    </row>
    <row r="1174" spans="1:6" ht="21" customHeight="1">
      <c r="A1174" s="46" t="s">
        <v>174</v>
      </c>
      <c r="B1174" s="37" t="s">
        <v>73</v>
      </c>
      <c r="C1174" s="38" t="s">
        <v>350</v>
      </c>
      <c r="D1174" s="37" t="s">
        <v>173</v>
      </c>
      <c r="E1174" s="40">
        <f>E1175</f>
        <v>31525</v>
      </c>
      <c r="F1174" s="40"/>
    </row>
    <row r="1175" spans="1:6" ht="30.75" customHeight="1">
      <c r="A1175" s="46" t="s">
        <v>176</v>
      </c>
      <c r="B1175" s="38" t="s">
        <v>73</v>
      </c>
      <c r="C1175" s="38" t="s">
        <v>350</v>
      </c>
      <c r="D1175" s="38" t="s">
        <v>175</v>
      </c>
      <c r="E1175" s="40">
        <f>16000+525+15000</f>
        <v>31525</v>
      </c>
      <c r="F1175" s="40"/>
    </row>
    <row r="1176" spans="1:6" ht="18" customHeight="1">
      <c r="A1176" s="59" t="s">
        <v>103</v>
      </c>
      <c r="B1176" s="65" t="s">
        <v>74</v>
      </c>
      <c r="C1176" s="65"/>
      <c r="D1176" s="65"/>
      <c r="E1176" s="13">
        <f>E1180+E1177</f>
        <v>19970</v>
      </c>
      <c r="F1176" s="13">
        <f>F1180+F1177</f>
        <v>470</v>
      </c>
    </row>
    <row r="1177" spans="1:6" ht="45.75" customHeight="1">
      <c r="A1177" s="51" t="s">
        <v>636</v>
      </c>
      <c r="B1177" s="37" t="s">
        <v>74</v>
      </c>
      <c r="C1177" s="39" t="s">
        <v>679</v>
      </c>
      <c r="D1177" s="37"/>
      <c r="E1177" s="44">
        <f>E1178</f>
        <v>470</v>
      </c>
      <c r="F1177" s="44">
        <f>F1178</f>
        <v>470</v>
      </c>
    </row>
    <row r="1178" spans="1:6" ht="31.5" customHeight="1">
      <c r="A1178" s="36" t="s">
        <v>339</v>
      </c>
      <c r="B1178" s="37" t="s">
        <v>74</v>
      </c>
      <c r="C1178" s="39" t="s">
        <v>679</v>
      </c>
      <c r="D1178" s="37" t="s">
        <v>338</v>
      </c>
      <c r="E1178" s="44">
        <f>E1179</f>
        <v>470</v>
      </c>
      <c r="F1178" s="44">
        <f>F1179</f>
        <v>470</v>
      </c>
    </row>
    <row r="1179" spans="1:6" ht="18" customHeight="1">
      <c r="A1179" s="43" t="s">
        <v>342</v>
      </c>
      <c r="B1179" s="37" t="s">
        <v>74</v>
      </c>
      <c r="C1179" s="39" t="s">
        <v>679</v>
      </c>
      <c r="D1179" s="37" t="s">
        <v>341</v>
      </c>
      <c r="E1179" s="44">
        <f>300+170</f>
        <v>470</v>
      </c>
      <c r="F1179" s="44">
        <f>E1179</f>
        <v>470</v>
      </c>
    </row>
    <row r="1180" spans="1:6" ht="20.25" customHeight="1">
      <c r="A1180" s="51" t="s">
        <v>165</v>
      </c>
      <c r="B1180" s="37" t="s">
        <v>74</v>
      </c>
      <c r="C1180" s="38" t="s">
        <v>350</v>
      </c>
      <c r="D1180" s="37"/>
      <c r="E1180" s="40">
        <f>E1181+E1183</f>
        <v>19500</v>
      </c>
      <c r="F1180" s="40"/>
    </row>
    <row r="1181" spans="1:6" ht="33.75" customHeight="1">
      <c r="A1181" s="36" t="s">
        <v>339</v>
      </c>
      <c r="B1181" s="38" t="s">
        <v>74</v>
      </c>
      <c r="C1181" s="38" t="s">
        <v>350</v>
      </c>
      <c r="D1181" s="38" t="s">
        <v>338</v>
      </c>
      <c r="E1181" s="40">
        <f>E1182</f>
        <v>17000</v>
      </c>
      <c r="F1181" s="40"/>
    </row>
    <row r="1182" spans="1:6" ht="24" customHeight="1">
      <c r="A1182" s="43" t="s">
        <v>342</v>
      </c>
      <c r="B1182" s="38" t="s">
        <v>74</v>
      </c>
      <c r="C1182" s="38" t="s">
        <v>350</v>
      </c>
      <c r="D1182" s="38" t="s">
        <v>341</v>
      </c>
      <c r="E1182" s="40">
        <f>12000+5000</f>
        <v>17000</v>
      </c>
      <c r="F1182" s="40"/>
    </row>
    <row r="1183" spans="1:6" ht="18.75" customHeight="1">
      <c r="A1183" s="46" t="s">
        <v>174</v>
      </c>
      <c r="B1183" s="38" t="s">
        <v>74</v>
      </c>
      <c r="C1183" s="38" t="s">
        <v>350</v>
      </c>
      <c r="D1183" s="38" t="s">
        <v>173</v>
      </c>
      <c r="E1183" s="40">
        <f>E1184</f>
        <v>2500</v>
      </c>
      <c r="F1183" s="40"/>
    </row>
    <row r="1184" spans="1:6" ht="33" customHeight="1">
      <c r="A1184" s="46" t="s">
        <v>176</v>
      </c>
      <c r="B1184" s="38" t="s">
        <v>74</v>
      </c>
      <c r="C1184" s="38" t="s">
        <v>350</v>
      </c>
      <c r="D1184" s="38" t="s">
        <v>175</v>
      </c>
      <c r="E1184" s="40">
        <f>1000+1500</f>
        <v>2500</v>
      </c>
      <c r="F1184" s="40"/>
    </row>
    <row r="1185" spans="1:6" ht="29.25" customHeight="1">
      <c r="A1185" s="59" t="s">
        <v>250</v>
      </c>
      <c r="B1185" s="65" t="s">
        <v>251</v>
      </c>
      <c r="C1185" s="65"/>
      <c r="D1185" s="65"/>
      <c r="E1185" s="13">
        <f>E1189+E1186</f>
        <v>1800</v>
      </c>
      <c r="F1185" s="40"/>
    </row>
    <row r="1186" spans="1:6" ht="19.5" customHeight="1">
      <c r="A1186" s="58" t="s">
        <v>424</v>
      </c>
      <c r="B1186" s="37" t="s">
        <v>251</v>
      </c>
      <c r="C1186" s="37" t="s">
        <v>328</v>
      </c>
      <c r="D1186" s="65"/>
      <c r="E1186" s="40">
        <f>E1187</f>
        <v>800</v>
      </c>
      <c r="F1186" s="40"/>
    </row>
    <row r="1187" spans="1:6" ht="23.25" customHeight="1">
      <c r="A1187" s="58" t="s">
        <v>174</v>
      </c>
      <c r="B1187" s="37" t="s">
        <v>251</v>
      </c>
      <c r="C1187" s="37" t="s">
        <v>328</v>
      </c>
      <c r="D1187" s="37" t="s">
        <v>173</v>
      </c>
      <c r="E1187" s="40">
        <f>E1188</f>
        <v>800</v>
      </c>
      <c r="F1187" s="40"/>
    </row>
    <row r="1188" spans="1:6" ht="33" customHeight="1">
      <c r="A1188" s="58" t="s">
        <v>176</v>
      </c>
      <c r="B1188" s="37" t="s">
        <v>251</v>
      </c>
      <c r="C1188" s="37" t="s">
        <v>328</v>
      </c>
      <c r="D1188" s="37" t="s">
        <v>175</v>
      </c>
      <c r="E1188" s="40">
        <f>800</f>
        <v>800</v>
      </c>
      <c r="F1188" s="40"/>
    </row>
    <row r="1189" spans="1:6" ht="24" customHeight="1">
      <c r="A1189" s="58" t="s">
        <v>250</v>
      </c>
      <c r="B1189" s="37" t="s">
        <v>251</v>
      </c>
      <c r="C1189" s="37" t="s">
        <v>425</v>
      </c>
      <c r="D1189" s="65"/>
      <c r="E1189" s="40">
        <f>E1190</f>
        <v>1000</v>
      </c>
      <c r="F1189" s="40"/>
    </row>
    <row r="1190" spans="1:6" ht="21" customHeight="1">
      <c r="A1190" s="58" t="s">
        <v>174</v>
      </c>
      <c r="B1190" s="37" t="s">
        <v>251</v>
      </c>
      <c r="C1190" s="37" t="s">
        <v>425</v>
      </c>
      <c r="D1190" s="37" t="s">
        <v>173</v>
      </c>
      <c r="E1190" s="40">
        <f>E1191</f>
        <v>1000</v>
      </c>
      <c r="F1190" s="40"/>
    </row>
    <row r="1191" spans="1:6" ht="31.5" customHeight="1">
      <c r="A1191" s="58" t="s">
        <v>176</v>
      </c>
      <c r="B1191" s="37" t="s">
        <v>251</v>
      </c>
      <c r="C1191" s="37" t="s">
        <v>425</v>
      </c>
      <c r="D1191" s="37" t="s">
        <v>175</v>
      </c>
      <c r="E1191" s="40">
        <f>1000</f>
        <v>1000</v>
      </c>
      <c r="F1191" s="40"/>
    </row>
    <row r="1192" spans="1:6" ht="33" customHeight="1">
      <c r="A1192" s="22" t="s">
        <v>110</v>
      </c>
      <c r="B1192" s="28" t="s">
        <v>75</v>
      </c>
      <c r="C1192" s="28"/>
      <c r="D1192" s="28"/>
      <c r="E1192" s="30">
        <f>E1193</f>
        <v>20376.2</v>
      </c>
      <c r="F1192" s="20"/>
    </row>
    <row r="1193" spans="1:6" ht="33" customHeight="1">
      <c r="A1193" s="51" t="s">
        <v>40</v>
      </c>
      <c r="B1193" s="92" t="s">
        <v>76</v>
      </c>
      <c r="C1193" s="28"/>
      <c r="D1193" s="28"/>
      <c r="E1193" s="97">
        <f>E1194</f>
        <v>20376.2</v>
      </c>
      <c r="F1193" s="98"/>
    </row>
    <row r="1194" spans="1:6" ht="21.75" customHeight="1">
      <c r="A1194" s="60" t="s">
        <v>245</v>
      </c>
      <c r="B1194" s="39" t="s">
        <v>76</v>
      </c>
      <c r="C1194" s="37" t="s">
        <v>20</v>
      </c>
      <c r="D1194" s="39"/>
      <c r="E1194" s="40">
        <f>E1195</f>
        <v>20376.2</v>
      </c>
      <c r="F1194" s="40"/>
    </row>
    <row r="1195" spans="1:6" ht="24.75" customHeight="1">
      <c r="A1195" s="41" t="s">
        <v>9</v>
      </c>
      <c r="B1195" s="39" t="s">
        <v>76</v>
      </c>
      <c r="C1195" s="38" t="s">
        <v>191</v>
      </c>
      <c r="D1195" s="39"/>
      <c r="E1195" s="40">
        <f>E1197</f>
        <v>20376.2</v>
      </c>
      <c r="F1195" s="40"/>
    </row>
    <row r="1196" spans="1:6" ht="19.5" customHeight="1">
      <c r="A1196" s="51" t="s">
        <v>108</v>
      </c>
      <c r="B1196" s="39" t="s">
        <v>76</v>
      </c>
      <c r="C1196" s="37" t="s">
        <v>192</v>
      </c>
      <c r="D1196" s="39"/>
      <c r="E1196" s="40">
        <f>E1197</f>
        <v>20376.2</v>
      </c>
      <c r="F1196" s="40"/>
    </row>
    <row r="1197" spans="1:6" ht="27" customHeight="1">
      <c r="A1197" s="41" t="s">
        <v>81</v>
      </c>
      <c r="B1197" s="39" t="s">
        <v>76</v>
      </c>
      <c r="C1197" s="37" t="s">
        <v>192</v>
      </c>
      <c r="D1197" s="39" t="s">
        <v>402</v>
      </c>
      <c r="E1197" s="40">
        <f>E1198</f>
        <v>20376.2</v>
      </c>
      <c r="F1197" s="40"/>
    </row>
    <row r="1198" spans="1:6" ht="18.75" customHeight="1">
      <c r="A1198" s="51" t="s">
        <v>81</v>
      </c>
      <c r="B1198" s="39" t="s">
        <v>76</v>
      </c>
      <c r="C1198" s="37" t="s">
        <v>192</v>
      </c>
      <c r="D1198" s="39" t="s">
        <v>46</v>
      </c>
      <c r="E1198" s="40">
        <f>40910-20000-533.8</f>
        <v>20376.2</v>
      </c>
      <c r="F1198" s="40"/>
    </row>
    <row r="1199" spans="1:6" ht="48" customHeight="1">
      <c r="A1199" s="21" t="s">
        <v>409</v>
      </c>
      <c r="B1199" s="19" t="s">
        <v>151</v>
      </c>
      <c r="C1199" s="19"/>
      <c r="D1199" s="19"/>
      <c r="E1199" s="20">
        <f>E1200</f>
        <v>13295</v>
      </c>
      <c r="F1199" s="20">
        <f>F1200</f>
        <v>9412.9</v>
      </c>
    </row>
    <row r="1200" spans="1:6" ht="32.25" customHeight="1">
      <c r="A1200" s="59" t="s">
        <v>67</v>
      </c>
      <c r="B1200" s="63" t="s">
        <v>152</v>
      </c>
      <c r="C1200" s="63"/>
      <c r="D1200" s="63"/>
      <c r="E1200" s="13">
        <f>E1201+E1204+E1207+E1210+E1213+E1216</f>
        <v>13295</v>
      </c>
      <c r="F1200" s="13">
        <f>F1201+F1204+F1207</f>
        <v>9412.9</v>
      </c>
    </row>
    <row r="1201" spans="1:6" ht="167.25" customHeight="1">
      <c r="A1201" s="72" t="s">
        <v>278</v>
      </c>
      <c r="B1201" s="10" t="s">
        <v>152</v>
      </c>
      <c r="C1201" s="10" t="s">
        <v>431</v>
      </c>
      <c r="D1201" s="94"/>
      <c r="E1201" s="95">
        <f>E1202</f>
        <v>8987</v>
      </c>
      <c r="F1201" s="95">
        <f>F1202</f>
        <v>8987</v>
      </c>
    </row>
    <row r="1202" spans="1:6" ht="23.25" customHeight="1">
      <c r="A1202" s="93" t="s">
        <v>404</v>
      </c>
      <c r="B1202" s="10" t="s">
        <v>152</v>
      </c>
      <c r="C1202" s="10" t="s">
        <v>431</v>
      </c>
      <c r="D1202" s="94" t="s">
        <v>403</v>
      </c>
      <c r="E1202" s="95">
        <f>E1203</f>
        <v>8987</v>
      </c>
      <c r="F1202" s="95">
        <f>F1203</f>
        <v>8987</v>
      </c>
    </row>
    <row r="1203" spans="1:6" ht="22.5" customHeight="1">
      <c r="A1203" s="93" t="s">
        <v>44</v>
      </c>
      <c r="B1203" s="10" t="s">
        <v>152</v>
      </c>
      <c r="C1203" s="10" t="s">
        <v>431</v>
      </c>
      <c r="D1203" s="94" t="s">
        <v>162</v>
      </c>
      <c r="E1203" s="95">
        <v>8987</v>
      </c>
      <c r="F1203" s="95">
        <v>8987</v>
      </c>
    </row>
    <row r="1204" spans="1:6" ht="107.25" customHeight="1">
      <c r="A1204" s="72" t="s">
        <v>276</v>
      </c>
      <c r="B1204" s="10" t="s">
        <v>152</v>
      </c>
      <c r="C1204" s="10" t="s">
        <v>432</v>
      </c>
      <c r="D1204" s="94"/>
      <c r="E1204" s="95">
        <f>E1205</f>
        <v>342.5</v>
      </c>
      <c r="F1204" s="95">
        <f>F1205</f>
        <v>342.5</v>
      </c>
    </row>
    <row r="1205" spans="1:6" ht="25.5" customHeight="1">
      <c r="A1205" s="93" t="s">
        <v>404</v>
      </c>
      <c r="B1205" s="10" t="s">
        <v>152</v>
      </c>
      <c r="C1205" s="10" t="s">
        <v>432</v>
      </c>
      <c r="D1205" s="94" t="s">
        <v>403</v>
      </c>
      <c r="E1205" s="95">
        <f>E1206</f>
        <v>342.5</v>
      </c>
      <c r="F1205" s="95">
        <f>F1206</f>
        <v>342.5</v>
      </c>
    </row>
    <row r="1206" spans="1:6" ht="25.5" customHeight="1">
      <c r="A1206" s="93" t="s">
        <v>44</v>
      </c>
      <c r="B1206" s="10" t="s">
        <v>152</v>
      </c>
      <c r="C1206" s="10" t="s">
        <v>432</v>
      </c>
      <c r="D1206" s="94" t="s">
        <v>162</v>
      </c>
      <c r="E1206" s="95">
        <v>342.5</v>
      </c>
      <c r="F1206" s="95">
        <f>E1206</f>
        <v>342.5</v>
      </c>
    </row>
    <row r="1207" spans="1:6" ht="79.5" customHeight="1">
      <c r="A1207" s="36" t="s">
        <v>748</v>
      </c>
      <c r="B1207" s="10" t="s">
        <v>152</v>
      </c>
      <c r="C1207" s="10" t="s">
        <v>731</v>
      </c>
      <c r="D1207" s="94"/>
      <c r="E1207" s="95">
        <f>E1208</f>
        <v>222.4</v>
      </c>
      <c r="F1207" s="95">
        <f>F1208</f>
        <v>83.4</v>
      </c>
    </row>
    <row r="1208" spans="1:6" ht="21" customHeight="1">
      <c r="A1208" s="93" t="s">
        <v>404</v>
      </c>
      <c r="B1208" s="10" t="s">
        <v>152</v>
      </c>
      <c r="C1208" s="10" t="s">
        <v>731</v>
      </c>
      <c r="D1208" s="94" t="s">
        <v>403</v>
      </c>
      <c r="E1208" s="95">
        <f>E1209</f>
        <v>222.4</v>
      </c>
      <c r="F1208" s="95">
        <f>F1209</f>
        <v>83.4</v>
      </c>
    </row>
    <row r="1209" spans="1:6" ht="22.5" customHeight="1">
      <c r="A1209" s="93" t="s">
        <v>44</v>
      </c>
      <c r="B1209" s="10" t="s">
        <v>152</v>
      </c>
      <c r="C1209" s="10" t="s">
        <v>731</v>
      </c>
      <c r="D1209" s="94" t="s">
        <v>162</v>
      </c>
      <c r="E1209" s="95">
        <f>240.4-18</f>
        <v>222.4</v>
      </c>
      <c r="F1209" s="95">
        <v>83.4</v>
      </c>
    </row>
    <row r="1210" spans="1:6" ht="30.75" customHeight="1">
      <c r="A1210" s="42" t="s">
        <v>401</v>
      </c>
      <c r="B1210" s="10" t="s">
        <v>152</v>
      </c>
      <c r="C1210" s="39" t="s">
        <v>355</v>
      </c>
      <c r="D1210" s="37"/>
      <c r="E1210" s="40">
        <f>E1211</f>
        <v>3707.6</v>
      </c>
      <c r="F1210" s="95"/>
    </row>
    <row r="1211" spans="1:6" ht="22.5" customHeight="1">
      <c r="A1211" s="93" t="s">
        <v>404</v>
      </c>
      <c r="B1211" s="10" t="s">
        <v>152</v>
      </c>
      <c r="C1211" s="39" t="s">
        <v>355</v>
      </c>
      <c r="D1211" s="37" t="s">
        <v>403</v>
      </c>
      <c r="E1211" s="40">
        <f>E1212</f>
        <v>3707.6</v>
      </c>
      <c r="F1211" s="95"/>
    </row>
    <row r="1212" spans="1:6" ht="22.5" customHeight="1">
      <c r="A1212" s="93" t="s">
        <v>44</v>
      </c>
      <c r="B1212" s="10" t="s">
        <v>152</v>
      </c>
      <c r="C1212" s="39" t="s">
        <v>355</v>
      </c>
      <c r="D1212" s="37" t="s">
        <v>162</v>
      </c>
      <c r="E1212" s="40">
        <f>3707.6</f>
        <v>3707.6</v>
      </c>
      <c r="F1212" s="95"/>
    </row>
    <row r="1213" spans="1:6" ht="25.5" customHeight="1">
      <c r="A1213" s="43" t="s">
        <v>398</v>
      </c>
      <c r="B1213" s="10" t="s">
        <v>152</v>
      </c>
      <c r="C1213" s="10" t="s">
        <v>356</v>
      </c>
      <c r="D1213" s="69"/>
      <c r="E1213" s="40">
        <f>E1214</f>
        <v>15</v>
      </c>
      <c r="F1213" s="95"/>
    </row>
    <row r="1214" spans="1:6" ht="22.5" customHeight="1">
      <c r="A1214" s="93" t="s">
        <v>404</v>
      </c>
      <c r="B1214" s="10" t="s">
        <v>152</v>
      </c>
      <c r="C1214" s="10" t="s">
        <v>356</v>
      </c>
      <c r="D1214" s="37" t="s">
        <v>403</v>
      </c>
      <c r="E1214" s="40">
        <f>E1215</f>
        <v>15</v>
      </c>
      <c r="F1214" s="95"/>
    </row>
    <row r="1215" spans="1:6" ht="22.5" customHeight="1">
      <c r="A1215" s="93" t="s">
        <v>44</v>
      </c>
      <c r="B1215" s="10" t="s">
        <v>152</v>
      </c>
      <c r="C1215" s="10" t="s">
        <v>356</v>
      </c>
      <c r="D1215" s="37" t="s">
        <v>162</v>
      </c>
      <c r="E1215" s="40">
        <f>15</f>
        <v>15</v>
      </c>
      <c r="F1215" s="95"/>
    </row>
    <row r="1216" spans="1:6" ht="24.75" customHeight="1">
      <c r="A1216" s="42" t="s">
        <v>394</v>
      </c>
      <c r="B1216" s="10" t="s">
        <v>152</v>
      </c>
      <c r="C1216" s="39" t="s">
        <v>357</v>
      </c>
      <c r="D1216" s="37"/>
      <c r="E1216" s="40">
        <f>E1217</f>
        <v>20.5</v>
      </c>
      <c r="F1216" s="40"/>
    </row>
    <row r="1217" spans="1:6" ht="22.5" customHeight="1">
      <c r="A1217" s="93" t="s">
        <v>404</v>
      </c>
      <c r="B1217" s="10" t="s">
        <v>152</v>
      </c>
      <c r="C1217" s="39" t="s">
        <v>357</v>
      </c>
      <c r="D1217" s="37" t="s">
        <v>403</v>
      </c>
      <c r="E1217" s="40">
        <f>E1218</f>
        <v>20.5</v>
      </c>
      <c r="F1217" s="95"/>
    </row>
    <row r="1218" spans="1:6" ht="21" customHeight="1">
      <c r="A1218" s="93" t="s">
        <v>44</v>
      </c>
      <c r="B1218" s="10" t="s">
        <v>152</v>
      </c>
      <c r="C1218" s="39" t="s">
        <v>357</v>
      </c>
      <c r="D1218" s="37" t="s">
        <v>162</v>
      </c>
      <c r="E1218" s="40">
        <f>20.5</f>
        <v>20.5</v>
      </c>
      <c r="F1218" s="95"/>
    </row>
    <row r="1219" spans="1:9" ht="21" customHeight="1">
      <c r="A1219" s="90" t="s">
        <v>107</v>
      </c>
      <c r="B1219" s="91"/>
      <c r="C1219" s="91"/>
      <c r="D1219" s="91"/>
      <c r="E1219" s="14">
        <f>E25+E384+E391+E422+E601+E737+E769+E1022+E1059+E1068+E1199+E1118+E1167+E1192</f>
        <v>8136244.069999999</v>
      </c>
      <c r="F1219" s="14">
        <f>F25+F384+F391+F422+F601+F737+F769+F1022+F1059+F1068+F1199+F1118+F1167+F1192</f>
        <v>4461027.67</v>
      </c>
      <c r="H1219" s="6"/>
      <c r="I1219" s="6"/>
    </row>
    <row r="1220" spans="1:6" ht="12.75">
      <c r="A1220" s="120"/>
      <c r="B1220" s="120"/>
      <c r="C1220" s="120"/>
      <c r="D1220" s="120"/>
      <c r="E1220" s="120"/>
      <c r="F1220" s="120"/>
    </row>
    <row r="1221" spans="1:6" ht="12.75">
      <c r="A1221" s="120"/>
      <c r="B1221" s="120"/>
      <c r="C1221" s="120"/>
      <c r="D1221" s="120"/>
      <c r="E1221" s="120"/>
      <c r="F1221" s="120"/>
    </row>
    <row r="1223" spans="6:8" ht="12.75">
      <c r="F1223" s="6"/>
      <c r="H1223" s="6"/>
    </row>
    <row r="1224" ht="12.75">
      <c r="E1224" s="9"/>
    </row>
    <row r="1225" spans="5:6" ht="12.75">
      <c r="E1225" s="9"/>
      <c r="F1225" s="6"/>
    </row>
    <row r="1226" ht="12.75">
      <c r="E1226" s="9"/>
    </row>
    <row r="1227" ht="12.75">
      <c r="E1227" s="9"/>
    </row>
    <row r="1228" spans="5:9" ht="12.75">
      <c r="E1228" s="9"/>
      <c r="I1228" s="6"/>
    </row>
    <row r="1229" ht="12.75">
      <c r="E1229" s="9"/>
    </row>
  </sheetData>
  <sheetProtection/>
  <autoFilter ref="A24:I1219"/>
  <mergeCells count="6">
    <mergeCell ref="A19:F19"/>
    <mergeCell ref="A20:F20"/>
    <mergeCell ref="A23:A24"/>
    <mergeCell ref="B23:D23"/>
    <mergeCell ref="E23:E24"/>
    <mergeCell ref="F23:F24"/>
  </mergeCells>
  <printOptions horizontalCentered="1"/>
  <pageMargins left="0.8661417322834646" right="0.2362204724409449" top="0.5118110236220472" bottom="0.2362204724409449" header="0.2755905511811024" footer="0.2362204724409449"/>
  <pageSetup horizontalDpi="600" verticalDpi="600" orientation="portrait" paperSize="9" scale="60" r:id="rId1"/>
  <headerFooter alignWithMargins="0">
    <oddHeader>&amp;C&amp;P</oddHeader>
    <oddFooter>&amp;L160/мз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1201"/>
  <sheetViews>
    <sheetView zoomScale="140" zoomScaleNormal="140" zoomScaleSheetLayoutView="140" workbookViewId="0" topLeftCell="A1175">
      <selection activeCell="E865" sqref="E865"/>
    </sheetView>
  </sheetViews>
  <sheetFormatPr defaultColWidth="9.00390625" defaultRowHeight="12.75"/>
  <cols>
    <col min="1" max="1" width="55.875" style="0" customWidth="1"/>
    <col min="2" max="2" width="11.375" style="0" customWidth="1"/>
    <col min="3" max="3" width="15.50390625" style="0" customWidth="1"/>
    <col min="4" max="4" width="9.50390625" style="0" customWidth="1"/>
    <col min="5" max="5" width="15.50390625" style="0" customWidth="1"/>
    <col min="6" max="6" width="17.50390625" style="0" customWidth="1"/>
    <col min="8" max="8" width="12.625" style="0" customWidth="1"/>
    <col min="9" max="9" width="10.625" style="0" bestFit="1" customWidth="1"/>
  </cols>
  <sheetData>
    <row r="1" spans="1:6" ht="12.75">
      <c r="A1" s="120"/>
      <c r="B1" s="120"/>
      <c r="C1" s="120"/>
      <c r="D1" s="120"/>
      <c r="E1" s="120"/>
      <c r="F1" s="120"/>
    </row>
    <row r="2" spans="1:6" ht="13.5">
      <c r="A2" s="31"/>
      <c r="B2" s="31"/>
      <c r="C2" s="31"/>
      <c r="D2" s="31"/>
      <c r="E2" s="31"/>
      <c r="F2" s="31"/>
    </row>
    <row r="3" spans="1:6" ht="13.5">
      <c r="A3" s="31"/>
      <c r="B3" s="31"/>
      <c r="C3" s="31"/>
      <c r="D3" s="31"/>
      <c r="E3" s="31"/>
      <c r="F3" s="31"/>
    </row>
    <row r="4" spans="1:6" ht="12.75">
      <c r="A4" s="134" t="s">
        <v>749</v>
      </c>
      <c r="B4" s="135"/>
      <c r="C4" s="135"/>
      <c r="D4" s="135"/>
      <c r="E4" s="135"/>
      <c r="F4" s="135"/>
    </row>
    <row r="5" spans="1:6" ht="50.25" customHeight="1">
      <c r="A5" s="125" t="s">
        <v>206</v>
      </c>
      <c r="B5" s="125"/>
      <c r="C5" s="125"/>
      <c r="D5" s="125"/>
      <c r="E5" s="125"/>
      <c r="F5" s="125"/>
    </row>
    <row r="6" spans="1:6" ht="18.75" customHeight="1">
      <c r="A6" s="125" t="s">
        <v>511</v>
      </c>
      <c r="B6" s="126"/>
      <c r="C6" s="126"/>
      <c r="D6" s="126"/>
      <c r="E6" s="126"/>
      <c r="F6" s="126"/>
    </row>
    <row r="7" spans="1:6" ht="22.5" customHeight="1">
      <c r="A7" s="32"/>
      <c r="B7" s="32"/>
      <c r="C7" s="32"/>
      <c r="D7" s="32"/>
      <c r="E7" s="32"/>
      <c r="F7" s="32"/>
    </row>
    <row r="8" spans="1:6" ht="13.5">
      <c r="A8" s="31"/>
      <c r="B8" s="31"/>
      <c r="C8" s="31"/>
      <c r="D8" s="31"/>
      <c r="E8" s="31"/>
      <c r="F8" s="33" t="s">
        <v>57</v>
      </c>
    </row>
    <row r="9" spans="1:6" s="1" customFormat="1" ht="18.75" customHeight="1">
      <c r="A9" s="127" t="s">
        <v>84</v>
      </c>
      <c r="B9" s="129" t="s">
        <v>85</v>
      </c>
      <c r="C9" s="130"/>
      <c r="D9" s="131"/>
      <c r="E9" s="132" t="s">
        <v>86</v>
      </c>
      <c r="F9" s="132" t="s">
        <v>207</v>
      </c>
    </row>
    <row r="10" spans="1:6" s="1" customFormat="1" ht="39" customHeight="1">
      <c r="A10" s="128"/>
      <c r="B10" s="34" t="s">
        <v>87</v>
      </c>
      <c r="C10" s="34" t="s">
        <v>88</v>
      </c>
      <c r="D10" s="34" t="s">
        <v>89</v>
      </c>
      <c r="E10" s="133"/>
      <c r="F10" s="133"/>
    </row>
    <row r="11" spans="1:8" s="5" customFormat="1" ht="24.75" customHeight="1">
      <c r="A11" s="15" t="s">
        <v>133</v>
      </c>
      <c r="B11" s="16" t="s">
        <v>90</v>
      </c>
      <c r="C11" s="17"/>
      <c r="D11" s="16"/>
      <c r="E11" s="18">
        <f>E12+E33+E241+E102+E245+E19</f>
        <v>5233.9</v>
      </c>
      <c r="F11" s="18">
        <f>F12+F33+F241+F102+F245+F19</f>
        <v>8666</v>
      </c>
      <c r="H11" s="101"/>
    </row>
    <row r="12" spans="1:6" s="1" customFormat="1" ht="30" customHeight="1">
      <c r="A12" s="35" t="s">
        <v>65</v>
      </c>
      <c r="B12" s="65" t="s">
        <v>143</v>
      </c>
      <c r="C12" s="63"/>
      <c r="D12" s="63"/>
      <c r="E12" s="13">
        <f aca="true" t="shared" si="0" ref="E12:E17">E13</f>
        <v>-1300</v>
      </c>
      <c r="F12" s="13"/>
    </row>
    <row r="13" spans="1:6" s="1" customFormat="1" ht="19.5" customHeight="1">
      <c r="A13" s="36" t="s">
        <v>245</v>
      </c>
      <c r="B13" s="37" t="s">
        <v>143</v>
      </c>
      <c r="C13" s="38" t="s">
        <v>20</v>
      </c>
      <c r="D13" s="39"/>
      <c r="E13" s="40">
        <f t="shared" si="0"/>
        <v>-1300</v>
      </c>
      <c r="F13" s="11"/>
    </row>
    <row r="14" spans="1:6" s="1" customFormat="1" ht="21.75" customHeight="1">
      <c r="A14" s="41" t="s">
        <v>41</v>
      </c>
      <c r="B14" s="37" t="s">
        <v>143</v>
      </c>
      <c r="C14" s="39" t="s">
        <v>21</v>
      </c>
      <c r="D14" s="39"/>
      <c r="E14" s="40">
        <f t="shared" si="0"/>
        <v>-1300</v>
      </c>
      <c r="F14" s="11"/>
    </row>
    <row r="15" spans="1:6" s="1" customFormat="1" ht="47.25" customHeight="1">
      <c r="A15" s="42" t="s">
        <v>170</v>
      </c>
      <c r="B15" s="37" t="s">
        <v>143</v>
      </c>
      <c r="C15" s="39" t="s">
        <v>22</v>
      </c>
      <c r="D15" s="39"/>
      <c r="E15" s="40">
        <f t="shared" si="0"/>
        <v>-1300</v>
      </c>
      <c r="F15" s="40"/>
    </row>
    <row r="16" spans="1:6" s="1" customFormat="1" ht="18" customHeight="1">
      <c r="A16" s="43" t="s">
        <v>144</v>
      </c>
      <c r="B16" s="37" t="s">
        <v>143</v>
      </c>
      <c r="C16" s="39" t="str">
        <f>$C$15</f>
        <v>12 5 00 01000</v>
      </c>
      <c r="D16" s="39"/>
      <c r="E16" s="40">
        <f t="shared" si="0"/>
        <v>-1300</v>
      </c>
      <c r="F16" s="40"/>
    </row>
    <row r="17" spans="1:6" s="1" customFormat="1" ht="57.75" customHeight="1">
      <c r="A17" s="43" t="s">
        <v>331</v>
      </c>
      <c r="B17" s="37" t="s">
        <v>143</v>
      </c>
      <c r="C17" s="39" t="str">
        <f>$C$16</f>
        <v>12 5 00 01000</v>
      </c>
      <c r="D17" s="39" t="s">
        <v>179</v>
      </c>
      <c r="E17" s="40">
        <f t="shared" si="0"/>
        <v>-1300</v>
      </c>
      <c r="F17" s="40"/>
    </row>
    <row r="18" spans="1:6" s="1" customFormat="1" ht="21" customHeight="1">
      <c r="A18" s="43" t="s">
        <v>172</v>
      </c>
      <c r="B18" s="37" t="s">
        <v>143</v>
      </c>
      <c r="C18" s="39" t="str">
        <f>$C$16</f>
        <v>12 5 00 01000</v>
      </c>
      <c r="D18" s="39" t="s">
        <v>171</v>
      </c>
      <c r="E18" s="40">
        <v>-1300</v>
      </c>
      <c r="F18" s="40"/>
    </row>
    <row r="19" spans="1:8" s="1" customFormat="1" ht="59.25" customHeight="1">
      <c r="A19" s="35" t="s">
        <v>237</v>
      </c>
      <c r="B19" s="65" t="s">
        <v>238</v>
      </c>
      <c r="C19" s="63"/>
      <c r="D19" s="63"/>
      <c r="E19" s="13">
        <f>E20</f>
        <v>344.4</v>
      </c>
      <c r="F19" s="13"/>
      <c r="H19" s="100"/>
    </row>
    <row r="20" spans="1:6" s="1" customFormat="1" ht="47.25" customHeight="1">
      <c r="A20" s="42" t="s">
        <v>170</v>
      </c>
      <c r="B20" s="37" t="s">
        <v>238</v>
      </c>
      <c r="C20" s="39" t="s">
        <v>23</v>
      </c>
      <c r="D20" s="39"/>
      <c r="E20" s="40">
        <f>E21</f>
        <v>344.4</v>
      </c>
      <c r="F20" s="40"/>
    </row>
    <row r="21" spans="1:6" s="1" customFormat="1" ht="21" customHeight="1">
      <c r="A21" s="42" t="s">
        <v>116</v>
      </c>
      <c r="B21" s="37" t="s">
        <v>238</v>
      </c>
      <c r="C21" s="39" t="s">
        <v>24</v>
      </c>
      <c r="D21" s="39"/>
      <c r="E21" s="40">
        <f>E22+E25+E30</f>
        <v>344.4</v>
      </c>
      <c r="F21" s="40"/>
    </row>
    <row r="22" spans="1:6" s="1" customFormat="1" ht="21" customHeight="1">
      <c r="A22" s="42" t="s">
        <v>159</v>
      </c>
      <c r="B22" s="37" t="s">
        <v>238</v>
      </c>
      <c r="C22" s="39" t="s">
        <v>25</v>
      </c>
      <c r="D22" s="39"/>
      <c r="E22" s="40">
        <f>E23</f>
        <v>67.4</v>
      </c>
      <c r="F22" s="40"/>
    </row>
    <row r="23" spans="1:6" s="1" customFormat="1" ht="60.75" customHeight="1">
      <c r="A23" s="42" t="s">
        <v>331</v>
      </c>
      <c r="B23" s="37" t="s">
        <v>238</v>
      </c>
      <c r="C23" s="39" t="s">
        <v>25</v>
      </c>
      <c r="D23" s="39" t="s">
        <v>179</v>
      </c>
      <c r="E23" s="40">
        <f>E24</f>
        <v>67.4</v>
      </c>
      <c r="F23" s="40"/>
    </row>
    <row r="24" spans="1:6" s="1" customFormat="1" ht="21" customHeight="1">
      <c r="A24" s="42" t="s">
        <v>172</v>
      </c>
      <c r="B24" s="37" t="s">
        <v>238</v>
      </c>
      <c r="C24" s="39" t="s">
        <v>25</v>
      </c>
      <c r="D24" s="39" t="s">
        <v>171</v>
      </c>
      <c r="E24" s="40">
        <v>67.4</v>
      </c>
      <c r="F24" s="40"/>
    </row>
    <row r="25" spans="1:6" s="1" customFormat="1" ht="34.5" customHeight="1">
      <c r="A25" s="42" t="s">
        <v>68</v>
      </c>
      <c r="B25" s="37" t="s">
        <v>238</v>
      </c>
      <c r="C25" s="39" t="s">
        <v>26</v>
      </c>
      <c r="D25" s="39"/>
      <c r="E25" s="40">
        <f>E26+E28</f>
        <v>255</v>
      </c>
      <c r="F25" s="40"/>
    </row>
    <row r="26" spans="1:6" s="1" customFormat="1" ht="21" customHeight="1">
      <c r="A26" s="46" t="s">
        <v>42</v>
      </c>
      <c r="B26" s="37" t="s">
        <v>238</v>
      </c>
      <c r="C26" s="39" t="s">
        <v>26</v>
      </c>
      <c r="D26" s="39" t="s">
        <v>347</v>
      </c>
      <c r="E26" s="40">
        <f>E27</f>
        <v>255</v>
      </c>
      <c r="F26" s="40"/>
    </row>
    <row r="27" spans="1:6" s="1" customFormat="1" ht="32.25" customHeight="1">
      <c r="A27" s="51" t="s">
        <v>54</v>
      </c>
      <c r="B27" s="37" t="s">
        <v>238</v>
      </c>
      <c r="C27" s="39" t="s">
        <v>26</v>
      </c>
      <c r="D27" s="39" t="s">
        <v>53</v>
      </c>
      <c r="E27" s="40">
        <v>255</v>
      </c>
      <c r="F27" s="40"/>
    </row>
    <row r="28" spans="1:6" s="1" customFormat="1" ht="24" customHeight="1">
      <c r="A28" s="46" t="s">
        <v>178</v>
      </c>
      <c r="B28" s="37" t="s">
        <v>238</v>
      </c>
      <c r="C28" s="39" t="s">
        <v>26</v>
      </c>
      <c r="D28" s="39" t="s">
        <v>177</v>
      </c>
      <c r="E28" s="40">
        <f>E29</f>
        <v>0</v>
      </c>
      <c r="F28" s="40"/>
    </row>
    <row r="29" spans="1:6" s="1" customFormat="1" ht="24" customHeight="1">
      <c r="A29" s="46" t="s">
        <v>335</v>
      </c>
      <c r="B29" s="37" t="s">
        <v>238</v>
      </c>
      <c r="C29" s="39" t="s">
        <v>26</v>
      </c>
      <c r="D29" s="39" t="s">
        <v>334</v>
      </c>
      <c r="E29" s="40"/>
      <c r="F29" s="40"/>
    </row>
    <row r="30" spans="1:6" s="1" customFormat="1" ht="45" customHeight="1">
      <c r="A30" s="46" t="s">
        <v>746</v>
      </c>
      <c r="B30" s="37" t="s">
        <v>238</v>
      </c>
      <c r="C30" s="39" t="s">
        <v>745</v>
      </c>
      <c r="D30" s="39"/>
      <c r="E30" s="40">
        <f>E31</f>
        <v>22</v>
      </c>
      <c r="F30" s="40"/>
    </row>
    <row r="31" spans="1:6" s="1" customFormat="1" ht="61.5" customHeight="1">
      <c r="A31" s="42" t="s">
        <v>331</v>
      </c>
      <c r="B31" s="37" t="s">
        <v>238</v>
      </c>
      <c r="C31" s="39" t="s">
        <v>745</v>
      </c>
      <c r="D31" s="39" t="s">
        <v>179</v>
      </c>
      <c r="E31" s="40">
        <f>E32</f>
        <v>22</v>
      </c>
      <c r="F31" s="40"/>
    </row>
    <row r="32" spans="1:6" s="1" customFormat="1" ht="24" customHeight="1">
      <c r="A32" s="42" t="s">
        <v>172</v>
      </c>
      <c r="B32" s="37" t="s">
        <v>238</v>
      </c>
      <c r="C32" s="39" t="s">
        <v>745</v>
      </c>
      <c r="D32" s="39" t="s">
        <v>171</v>
      </c>
      <c r="E32" s="40">
        <v>22</v>
      </c>
      <c r="F32" s="40"/>
    </row>
    <row r="33" spans="1:8" s="1" customFormat="1" ht="47.25" customHeight="1">
      <c r="A33" s="49" t="s">
        <v>60</v>
      </c>
      <c r="B33" s="63" t="s">
        <v>109</v>
      </c>
      <c r="C33" s="63"/>
      <c r="D33" s="63"/>
      <c r="E33" s="13">
        <f>E38+E34</f>
        <v>-1112.9</v>
      </c>
      <c r="F33" s="13">
        <f>F38</f>
        <v>0</v>
      </c>
      <c r="H33" s="100"/>
    </row>
    <row r="34" spans="1:6" s="1" customFormat="1" ht="78" customHeight="1">
      <c r="A34" s="36" t="s">
        <v>265</v>
      </c>
      <c r="B34" s="39" t="s">
        <v>109</v>
      </c>
      <c r="C34" s="37" t="s">
        <v>241</v>
      </c>
      <c r="D34" s="63"/>
      <c r="E34" s="40">
        <f>E35</f>
        <v>0</v>
      </c>
      <c r="F34" s="13"/>
    </row>
    <row r="35" spans="1:6" s="1" customFormat="1" ht="30.75" customHeight="1">
      <c r="A35" s="46" t="s">
        <v>240</v>
      </c>
      <c r="B35" s="39" t="s">
        <v>109</v>
      </c>
      <c r="C35" s="37" t="s">
        <v>239</v>
      </c>
      <c r="D35" s="63"/>
      <c r="E35" s="40">
        <f>E36</f>
        <v>0</v>
      </c>
      <c r="F35" s="13"/>
    </row>
    <row r="36" spans="1:6" s="1" customFormat="1" ht="26.25" customHeight="1">
      <c r="A36" s="46" t="s">
        <v>174</v>
      </c>
      <c r="B36" s="39" t="s">
        <v>109</v>
      </c>
      <c r="C36" s="37" t="s">
        <v>239</v>
      </c>
      <c r="D36" s="39" t="s">
        <v>173</v>
      </c>
      <c r="E36" s="40">
        <f>E37</f>
        <v>0</v>
      </c>
      <c r="F36" s="13"/>
    </row>
    <row r="37" spans="1:6" s="1" customFormat="1" ht="33" customHeight="1">
      <c r="A37" s="46" t="s">
        <v>176</v>
      </c>
      <c r="B37" s="39" t="s">
        <v>109</v>
      </c>
      <c r="C37" s="37" t="s">
        <v>239</v>
      </c>
      <c r="D37" s="39" t="s">
        <v>175</v>
      </c>
      <c r="E37" s="40"/>
      <c r="F37" s="13"/>
    </row>
    <row r="38" spans="1:6" s="1" customFormat="1" ht="46.5" customHeight="1">
      <c r="A38" s="42" t="s">
        <v>170</v>
      </c>
      <c r="B38" s="39" t="s">
        <v>109</v>
      </c>
      <c r="C38" s="37" t="s">
        <v>20</v>
      </c>
      <c r="D38" s="39"/>
      <c r="E38" s="40">
        <f>E44+E39</f>
        <v>-1112.9</v>
      </c>
      <c r="F38" s="40">
        <f>F44+F39</f>
        <v>0</v>
      </c>
    </row>
    <row r="39" spans="1:6" s="1" customFormat="1" ht="24.75" customHeight="1">
      <c r="A39" s="36" t="s">
        <v>245</v>
      </c>
      <c r="B39" s="39" t="s">
        <v>109</v>
      </c>
      <c r="C39" s="37" t="str">
        <f>$C$38</f>
        <v>12 0 00 00000</v>
      </c>
      <c r="D39" s="39"/>
      <c r="E39" s="40">
        <f>E40</f>
        <v>0</v>
      </c>
      <c r="F39" s="40">
        <f>F40</f>
        <v>0</v>
      </c>
    </row>
    <row r="40" spans="1:6" s="1" customFormat="1" ht="48.75" customHeight="1">
      <c r="A40" s="36" t="s">
        <v>313</v>
      </c>
      <c r="B40" s="39" t="s">
        <v>109</v>
      </c>
      <c r="C40" s="37" t="s">
        <v>27</v>
      </c>
      <c r="D40" s="39"/>
      <c r="E40" s="40">
        <f>E41</f>
        <v>0</v>
      </c>
      <c r="F40" s="50"/>
    </row>
    <row r="41" spans="1:6" s="1" customFormat="1" ht="48.75" customHeight="1">
      <c r="A41" s="36" t="s">
        <v>502</v>
      </c>
      <c r="B41" s="39" t="s">
        <v>109</v>
      </c>
      <c r="C41" s="37" t="s">
        <v>28</v>
      </c>
      <c r="D41" s="39"/>
      <c r="E41" s="40">
        <f>E42</f>
        <v>0</v>
      </c>
      <c r="F41" s="50"/>
    </row>
    <row r="42" spans="1:6" s="1" customFormat="1" ht="22.5" customHeight="1">
      <c r="A42" s="46" t="s">
        <v>174</v>
      </c>
      <c r="B42" s="39" t="s">
        <v>109</v>
      </c>
      <c r="C42" s="37" t="s">
        <v>28</v>
      </c>
      <c r="D42" s="39" t="s">
        <v>173</v>
      </c>
      <c r="E42" s="40">
        <f>E43</f>
        <v>0</v>
      </c>
      <c r="F42" s="50"/>
    </row>
    <row r="43" spans="1:6" s="1" customFormat="1" ht="30" customHeight="1">
      <c r="A43" s="46" t="s">
        <v>176</v>
      </c>
      <c r="B43" s="39" t="s">
        <v>109</v>
      </c>
      <c r="C43" s="37" t="s">
        <v>28</v>
      </c>
      <c r="D43" s="39" t="s">
        <v>175</v>
      </c>
      <c r="E43" s="40"/>
      <c r="F43" s="50"/>
    </row>
    <row r="44" spans="1:6" s="1" customFormat="1" ht="24" customHeight="1">
      <c r="A44" s="36" t="s">
        <v>245</v>
      </c>
      <c r="B44" s="39" t="s">
        <v>109</v>
      </c>
      <c r="C44" s="38" t="s">
        <v>20</v>
      </c>
      <c r="D44" s="39"/>
      <c r="E44" s="40">
        <f>E45</f>
        <v>-1112.9</v>
      </c>
      <c r="F44" s="11"/>
    </row>
    <row r="45" spans="1:6" s="1" customFormat="1" ht="21" customHeight="1">
      <c r="A45" s="41" t="s">
        <v>41</v>
      </c>
      <c r="B45" s="39" t="s">
        <v>109</v>
      </c>
      <c r="C45" s="38" t="s">
        <v>21</v>
      </c>
      <c r="D45" s="39"/>
      <c r="E45" s="40">
        <f>E46+E61+E66</f>
        <v>-1112.9</v>
      </c>
      <c r="F45" s="11"/>
    </row>
    <row r="46" spans="1:6" s="1" customFormat="1" ht="18.75" customHeight="1">
      <c r="A46" s="51" t="s">
        <v>116</v>
      </c>
      <c r="B46" s="39" t="s">
        <v>109</v>
      </c>
      <c r="C46" s="39" t="s">
        <v>29</v>
      </c>
      <c r="D46" s="39"/>
      <c r="E46" s="40">
        <f>E47+E50+E53+E58</f>
        <v>-1112.9</v>
      </c>
      <c r="F46" s="40">
        <f>F47+F50+F53</f>
        <v>0</v>
      </c>
    </row>
    <row r="47" spans="1:6" s="1" customFormat="1" ht="19.5" customHeight="1">
      <c r="A47" s="46" t="s">
        <v>158</v>
      </c>
      <c r="B47" s="39" t="s">
        <v>109</v>
      </c>
      <c r="C47" s="39" t="s">
        <v>30</v>
      </c>
      <c r="D47" s="39"/>
      <c r="E47" s="40">
        <f>E48</f>
        <v>-1112.9</v>
      </c>
      <c r="F47" s="40"/>
    </row>
    <row r="48" spans="1:6" s="1" customFormat="1" ht="63.75" customHeight="1">
      <c r="A48" s="43" t="s">
        <v>331</v>
      </c>
      <c r="B48" s="39" t="s">
        <v>109</v>
      </c>
      <c r="C48" s="39" t="s">
        <v>30</v>
      </c>
      <c r="D48" s="39" t="s">
        <v>179</v>
      </c>
      <c r="E48" s="40">
        <f>E49</f>
        <v>-1112.9</v>
      </c>
      <c r="F48" s="40"/>
    </row>
    <row r="49" spans="1:6" s="1" customFormat="1" ht="24" customHeight="1">
      <c r="A49" s="43" t="s">
        <v>172</v>
      </c>
      <c r="B49" s="39" t="s">
        <v>109</v>
      </c>
      <c r="C49" s="39" t="s">
        <v>30</v>
      </c>
      <c r="D49" s="39" t="s">
        <v>171</v>
      </c>
      <c r="E49" s="40">
        <f>-1071.9-41</f>
        <v>-1112.9</v>
      </c>
      <c r="F49" s="40"/>
    </row>
    <row r="50" spans="1:6" s="1" customFormat="1" ht="21" customHeight="1">
      <c r="A50" s="46" t="s">
        <v>159</v>
      </c>
      <c r="B50" s="39" t="s">
        <v>109</v>
      </c>
      <c r="C50" s="39" t="s">
        <v>31</v>
      </c>
      <c r="D50" s="39"/>
      <c r="E50" s="40">
        <f>E51</f>
        <v>0</v>
      </c>
      <c r="F50" s="40"/>
    </row>
    <row r="51" spans="1:6" s="1" customFormat="1" ht="61.5" customHeight="1">
      <c r="A51" s="43" t="s">
        <v>331</v>
      </c>
      <c r="B51" s="39" t="s">
        <v>109</v>
      </c>
      <c r="C51" s="39" t="s">
        <v>31</v>
      </c>
      <c r="D51" s="39" t="s">
        <v>179</v>
      </c>
      <c r="E51" s="40">
        <f>E52</f>
        <v>0</v>
      </c>
      <c r="F51" s="40"/>
    </row>
    <row r="52" spans="1:6" s="1" customFormat="1" ht="21" customHeight="1">
      <c r="A52" s="43" t="s">
        <v>172</v>
      </c>
      <c r="B52" s="39" t="s">
        <v>109</v>
      </c>
      <c r="C52" s="39" t="s">
        <v>31</v>
      </c>
      <c r="D52" s="39" t="s">
        <v>171</v>
      </c>
      <c r="E52" s="40"/>
      <c r="F52" s="40"/>
    </row>
    <row r="53" spans="1:6" s="1" customFormat="1" ht="33" customHeight="1">
      <c r="A53" s="46" t="s">
        <v>68</v>
      </c>
      <c r="B53" s="39" t="s">
        <v>109</v>
      </c>
      <c r="C53" s="39" t="s">
        <v>32</v>
      </c>
      <c r="D53" s="39"/>
      <c r="E53" s="40">
        <f>E54+E56</f>
        <v>0</v>
      </c>
      <c r="F53" s="40"/>
    </row>
    <row r="54" spans="1:6" s="1" customFormat="1" ht="21.75" customHeight="1">
      <c r="A54" s="46" t="s">
        <v>174</v>
      </c>
      <c r="B54" s="39" t="s">
        <v>109</v>
      </c>
      <c r="C54" s="39" t="s">
        <v>32</v>
      </c>
      <c r="D54" s="39" t="s">
        <v>173</v>
      </c>
      <c r="E54" s="40">
        <f>E55</f>
        <v>0</v>
      </c>
      <c r="F54" s="40"/>
    </row>
    <row r="55" spans="1:6" s="1" customFormat="1" ht="29.25" customHeight="1">
      <c r="A55" s="46" t="s">
        <v>176</v>
      </c>
      <c r="B55" s="39" t="s">
        <v>109</v>
      </c>
      <c r="C55" s="39" t="s">
        <v>32</v>
      </c>
      <c r="D55" s="39" t="s">
        <v>175</v>
      </c>
      <c r="E55" s="40"/>
      <c r="F55" s="40"/>
    </row>
    <row r="56" spans="1:6" s="1" customFormat="1" ht="21.75" customHeight="1">
      <c r="A56" s="46" t="s">
        <v>178</v>
      </c>
      <c r="B56" s="39" t="s">
        <v>109</v>
      </c>
      <c r="C56" s="39" t="str">
        <f>$C$55</f>
        <v>12 5 00 04990</v>
      </c>
      <c r="D56" s="39" t="s">
        <v>177</v>
      </c>
      <c r="E56" s="40">
        <f>E57</f>
        <v>0</v>
      </c>
      <c r="F56" s="40"/>
    </row>
    <row r="57" spans="1:6" s="1" customFormat="1" ht="21.75" customHeight="1">
      <c r="A57" s="46" t="s">
        <v>335</v>
      </c>
      <c r="B57" s="39" t="s">
        <v>109</v>
      </c>
      <c r="C57" s="39" t="str">
        <f>$C$55</f>
        <v>12 5 00 04990</v>
      </c>
      <c r="D57" s="39" t="s">
        <v>334</v>
      </c>
      <c r="E57" s="40"/>
      <c r="F57" s="40"/>
    </row>
    <row r="58" spans="1:6" s="1" customFormat="1" ht="20.25" customHeight="1">
      <c r="A58" s="46" t="s">
        <v>465</v>
      </c>
      <c r="B58" s="39" t="s">
        <v>109</v>
      </c>
      <c r="C58" s="39" t="s">
        <v>466</v>
      </c>
      <c r="D58" s="39"/>
      <c r="E58" s="40">
        <f>E59</f>
        <v>0</v>
      </c>
      <c r="F58" s="40"/>
    </row>
    <row r="59" spans="1:6" s="1" customFormat="1" ht="21.75" customHeight="1">
      <c r="A59" s="46" t="s">
        <v>174</v>
      </c>
      <c r="B59" s="39" t="s">
        <v>109</v>
      </c>
      <c r="C59" s="39" t="s">
        <v>466</v>
      </c>
      <c r="D59" s="39" t="s">
        <v>173</v>
      </c>
      <c r="E59" s="40">
        <f>E60</f>
        <v>0</v>
      </c>
      <c r="F59" s="40"/>
    </row>
    <row r="60" spans="1:6" s="1" customFormat="1" ht="34.5" customHeight="1">
      <c r="A60" s="46" t="s">
        <v>176</v>
      </c>
      <c r="B60" s="39" t="s">
        <v>109</v>
      </c>
      <c r="C60" s="39" t="s">
        <v>466</v>
      </c>
      <c r="D60" s="39" t="s">
        <v>175</v>
      </c>
      <c r="E60" s="40"/>
      <c r="F60" s="40"/>
    </row>
    <row r="61" spans="1:6" s="1" customFormat="1" ht="76.5" customHeight="1">
      <c r="A61" s="58" t="s">
        <v>627</v>
      </c>
      <c r="B61" s="39" t="s">
        <v>109</v>
      </c>
      <c r="C61" s="48" t="s">
        <v>671</v>
      </c>
      <c r="D61" s="48"/>
      <c r="E61" s="53">
        <f>E64+E62</f>
        <v>0</v>
      </c>
      <c r="F61" s="53"/>
    </row>
    <row r="62" spans="1:6" s="1" customFormat="1" ht="62.25" customHeight="1">
      <c r="A62" s="43" t="s">
        <v>331</v>
      </c>
      <c r="B62" s="39" t="s">
        <v>109</v>
      </c>
      <c r="C62" s="48" t="s">
        <v>671</v>
      </c>
      <c r="D62" s="48" t="s">
        <v>179</v>
      </c>
      <c r="E62" s="53">
        <f>E63</f>
        <v>0</v>
      </c>
      <c r="F62" s="53"/>
    </row>
    <row r="63" spans="1:6" s="1" customFormat="1" ht="21" customHeight="1">
      <c r="A63" s="43" t="s">
        <v>172</v>
      </c>
      <c r="B63" s="39" t="s">
        <v>109</v>
      </c>
      <c r="C63" s="48" t="s">
        <v>671</v>
      </c>
      <c r="D63" s="48" t="s">
        <v>171</v>
      </c>
      <c r="E63" s="53"/>
      <c r="F63" s="53"/>
    </row>
    <row r="64" spans="1:6" s="1" customFormat="1" ht="20.25" customHeight="1">
      <c r="A64" s="46" t="s">
        <v>174</v>
      </c>
      <c r="B64" s="39" t="s">
        <v>109</v>
      </c>
      <c r="C64" s="48" t="s">
        <v>671</v>
      </c>
      <c r="D64" s="48" t="s">
        <v>173</v>
      </c>
      <c r="E64" s="53">
        <f>E65</f>
        <v>0</v>
      </c>
      <c r="F64" s="53"/>
    </row>
    <row r="65" spans="1:6" s="1" customFormat="1" ht="31.5" customHeight="1">
      <c r="A65" s="46" t="s">
        <v>176</v>
      </c>
      <c r="B65" s="39" t="s">
        <v>109</v>
      </c>
      <c r="C65" s="48" t="s">
        <v>671</v>
      </c>
      <c r="D65" s="48" t="s">
        <v>175</v>
      </c>
      <c r="E65" s="53"/>
      <c r="F65" s="53"/>
    </row>
    <row r="66" spans="1:6" s="1" customFormat="1" ht="63.75" customHeight="1">
      <c r="A66" s="58" t="s">
        <v>621</v>
      </c>
      <c r="B66" s="47" t="s">
        <v>109</v>
      </c>
      <c r="C66" s="47" t="s">
        <v>558</v>
      </c>
      <c r="D66" s="47"/>
      <c r="E66" s="50">
        <f>E67+E69</f>
        <v>0</v>
      </c>
      <c r="F66" s="115"/>
    </row>
    <row r="67" spans="1:6" s="1" customFormat="1" ht="63.75" customHeight="1">
      <c r="A67" s="58" t="s">
        <v>331</v>
      </c>
      <c r="B67" s="47" t="s">
        <v>109</v>
      </c>
      <c r="C67" s="47" t="s">
        <v>558</v>
      </c>
      <c r="D67" s="47" t="s">
        <v>179</v>
      </c>
      <c r="E67" s="50">
        <f>E68</f>
        <v>0</v>
      </c>
      <c r="F67" s="115"/>
    </row>
    <row r="68" spans="1:6" s="1" customFormat="1" ht="23.25" customHeight="1">
      <c r="A68" s="58" t="s">
        <v>172</v>
      </c>
      <c r="B68" s="47" t="s">
        <v>109</v>
      </c>
      <c r="C68" s="47" t="s">
        <v>558</v>
      </c>
      <c r="D68" s="47" t="s">
        <v>171</v>
      </c>
      <c r="E68" s="50"/>
      <c r="F68" s="115"/>
    </row>
    <row r="69" spans="1:6" s="1" customFormat="1" ht="21" customHeight="1">
      <c r="A69" s="58" t="s">
        <v>174</v>
      </c>
      <c r="B69" s="47" t="s">
        <v>109</v>
      </c>
      <c r="C69" s="47" t="s">
        <v>558</v>
      </c>
      <c r="D69" s="47" t="s">
        <v>173</v>
      </c>
      <c r="E69" s="50">
        <f>E70</f>
        <v>0</v>
      </c>
      <c r="F69" s="115"/>
    </row>
    <row r="70" spans="1:6" s="1" customFormat="1" ht="31.5" customHeight="1">
      <c r="A70" s="58" t="s">
        <v>176</v>
      </c>
      <c r="B70" s="47" t="s">
        <v>109</v>
      </c>
      <c r="C70" s="47" t="s">
        <v>558</v>
      </c>
      <c r="D70" s="47" t="s">
        <v>175</v>
      </c>
      <c r="E70" s="50"/>
      <c r="F70" s="115"/>
    </row>
    <row r="71" spans="1:6" s="1" customFormat="1" ht="75.75" customHeight="1">
      <c r="A71" s="58" t="s">
        <v>625</v>
      </c>
      <c r="B71" s="47" t="s">
        <v>109</v>
      </c>
      <c r="C71" s="47" t="s">
        <v>672</v>
      </c>
      <c r="D71" s="47"/>
      <c r="E71" s="50">
        <f>E72+E74</f>
        <v>0</v>
      </c>
      <c r="F71" s="83"/>
    </row>
    <row r="72" spans="1:6" s="1" customFormat="1" ht="61.5" customHeight="1">
      <c r="A72" s="58" t="s">
        <v>331</v>
      </c>
      <c r="B72" s="47" t="s">
        <v>109</v>
      </c>
      <c r="C72" s="47" t="s">
        <v>672</v>
      </c>
      <c r="D72" s="47" t="s">
        <v>179</v>
      </c>
      <c r="E72" s="50">
        <f>E73</f>
        <v>0</v>
      </c>
      <c r="F72" s="83"/>
    </row>
    <row r="73" spans="1:6" s="1" customFormat="1" ht="23.25" customHeight="1">
      <c r="A73" s="58" t="s">
        <v>172</v>
      </c>
      <c r="B73" s="47" t="s">
        <v>109</v>
      </c>
      <c r="C73" s="47" t="s">
        <v>672</v>
      </c>
      <c r="D73" s="47" t="s">
        <v>171</v>
      </c>
      <c r="E73" s="50"/>
      <c r="F73" s="83"/>
    </row>
    <row r="74" spans="1:6" s="1" customFormat="1" ht="18.75" customHeight="1">
      <c r="A74" s="58" t="s">
        <v>174</v>
      </c>
      <c r="B74" s="47" t="s">
        <v>109</v>
      </c>
      <c r="C74" s="47" t="s">
        <v>672</v>
      </c>
      <c r="D74" s="47" t="s">
        <v>173</v>
      </c>
      <c r="E74" s="50">
        <f>E75</f>
        <v>0</v>
      </c>
      <c r="F74" s="83"/>
    </row>
    <row r="75" spans="1:6" s="1" customFormat="1" ht="31.5" customHeight="1">
      <c r="A75" s="58" t="s">
        <v>176</v>
      </c>
      <c r="B75" s="47" t="s">
        <v>109</v>
      </c>
      <c r="C75" s="47" t="s">
        <v>672</v>
      </c>
      <c r="D75" s="47" t="s">
        <v>175</v>
      </c>
      <c r="E75" s="50"/>
      <c r="F75" s="83"/>
    </row>
    <row r="76" spans="1:6" s="1" customFormat="1" ht="73.5" customHeight="1">
      <c r="A76" s="58" t="s">
        <v>624</v>
      </c>
      <c r="B76" s="47" t="s">
        <v>109</v>
      </c>
      <c r="C76" s="47" t="s">
        <v>673</v>
      </c>
      <c r="D76" s="47"/>
      <c r="E76" s="50">
        <f>E77+E79</f>
        <v>0</v>
      </c>
      <c r="F76" s="83"/>
    </row>
    <row r="77" spans="1:6" s="1" customFormat="1" ht="60.75" customHeight="1">
      <c r="A77" s="58" t="s">
        <v>331</v>
      </c>
      <c r="B77" s="47" t="s">
        <v>109</v>
      </c>
      <c r="C77" s="47" t="s">
        <v>673</v>
      </c>
      <c r="D77" s="47" t="s">
        <v>179</v>
      </c>
      <c r="E77" s="50">
        <f>E78</f>
        <v>0</v>
      </c>
      <c r="F77" s="83"/>
    </row>
    <row r="78" spans="1:6" s="1" customFormat="1" ht="24.75" customHeight="1">
      <c r="A78" s="58" t="s">
        <v>172</v>
      </c>
      <c r="B78" s="47" t="s">
        <v>109</v>
      </c>
      <c r="C78" s="47" t="s">
        <v>673</v>
      </c>
      <c r="D78" s="47" t="s">
        <v>171</v>
      </c>
      <c r="E78" s="50"/>
      <c r="F78" s="83"/>
    </row>
    <row r="79" spans="1:6" s="1" customFormat="1" ht="25.5" customHeight="1">
      <c r="A79" s="58" t="s">
        <v>174</v>
      </c>
      <c r="B79" s="47" t="s">
        <v>109</v>
      </c>
      <c r="C79" s="47" t="s">
        <v>673</v>
      </c>
      <c r="D79" s="47" t="s">
        <v>173</v>
      </c>
      <c r="E79" s="50">
        <f>E80</f>
        <v>0</v>
      </c>
      <c r="F79" s="83"/>
    </row>
    <row r="80" spans="1:6" s="1" customFormat="1" ht="31.5" customHeight="1">
      <c r="A80" s="58" t="s">
        <v>176</v>
      </c>
      <c r="B80" s="47" t="s">
        <v>109</v>
      </c>
      <c r="C80" s="47" t="s">
        <v>673</v>
      </c>
      <c r="D80" s="47" t="s">
        <v>175</v>
      </c>
      <c r="E80" s="50"/>
      <c r="F80" s="83"/>
    </row>
    <row r="81" spans="1:6" s="1" customFormat="1" ht="74.25" customHeight="1">
      <c r="A81" s="58" t="s">
        <v>693</v>
      </c>
      <c r="B81" s="47" t="s">
        <v>109</v>
      </c>
      <c r="C81" s="47" t="s">
        <v>694</v>
      </c>
      <c r="D81" s="47"/>
      <c r="E81" s="50">
        <f>E82+E84</f>
        <v>0</v>
      </c>
      <c r="F81" s="83"/>
    </row>
    <row r="82" spans="1:6" s="1" customFormat="1" ht="31.5" customHeight="1">
      <c r="A82" s="58" t="s">
        <v>331</v>
      </c>
      <c r="B82" s="47" t="s">
        <v>109</v>
      </c>
      <c r="C82" s="47" t="s">
        <v>694</v>
      </c>
      <c r="D82" s="47" t="s">
        <v>179</v>
      </c>
      <c r="E82" s="50">
        <f>E83</f>
        <v>0</v>
      </c>
      <c r="F82" s="83"/>
    </row>
    <row r="83" spans="1:6" s="1" customFormat="1" ht="27" customHeight="1">
      <c r="A83" s="58" t="s">
        <v>172</v>
      </c>
      <c r="B83" s="47" t="s">
        <v>109</v>
      </c>
      <c r="C83" s="47" t="s">
        <v>694</v>
      </c>
      <c r="D83" s="47" t="s">
        <v>171</v>
      </c>
      <c r="E83" s="50"/>
      <c r="F83" s="83"/>
    </row>
    <row r="84" spans="1:6" s="1" customFormat="1" ht="22.5" customHeight="1">
      <c r="A84" s="58" t="s">
        <v>174</v>
      </c>
      <c r="B84" s="47" t="s">
        <v>109</v>
      </c>
      <c r="C84" s="47" t="s">
        <v>694</v>
      </c>
      <c r="D84" s="47" t="s">
        <v>173</v>
      </c>
      <c r="E84" s="50">
        <f>E85</f>
        <v>0</v>
      </c>
      <c r="F84" s="83"/>
    </row>
    <row r="85" spans="1:6" s="1" customFormat="1" ht="31.5" customHeight="1">
      <c r="A85" s="58" t="s">
        <v>176</v>
      </c>
      <c r="B85" s="47" t="s">
        <v>109</v>
      </c>
      <c r="C85" s="47" t="s">
        <v>694</v>
      </c>
      <c r="D85" s="47" t="s">
        <v>175</v>
      </c>
      <c r="E85" s="50"/>
      <c r="F85" s="83"/>
    </row>
    <row r="86" spans="1:6" s="1" customFormat="1" ht="74.25" customHeight="1">
      <c r="A86" s="58" t="s">
        <v>622</v>
      </c>
      <c r="B86" s="47" t="s">
        <v>109</v>
      </c>
      <c r="C86" s="47" t="s">
        <v>674</v>
      </c>
      <c r="D86" s="47"/>
      <c r="E86" s="50">
        <f>E87+E89</f>
        <v>0</v>
      </c>
      <c r="F86" s="83"/>
    </row>
    <row r="87" spans="1:6" s="1" customFormat="1" ht="63.75" customHeight="1">
      <c r="A87" s="58" t="s">
        <v>331</v>
      </c>
      <c r="B87" s="47" t="s">
        <v>109</v>
      </c>
      <c r="C87" s="47" t="s">
        <v>674</v>
      </c>
      <c r="D87" s="47" t="s">
        <v>179</v>
      </c>
      <c r="E87" s="50">
        <f>E88</f>
        <v>0</v>
      </c>
      <c r="F87" s="83"/>
    </row>
    <row r="88" spans="1:6" s="1" customFormat="1" ht="26.25" customHeight="1">
      <c r="A88" s="58" t="s">
        <v>172</v>
      </c>
      <c r="B88" s="47" t="s">
        <v>109</v>
      </c>
      <c r="C88" s="47" t="s">
        <v>674</v>
      </c>
      <c r="D88" s="47" t="s">
        <v>171</v>
      </c>
      <c r="E88" s="50"/>
      <c r="F88" s="83"/>
    </row>
    <row r="89" spans="1:6" s="1" customFormat="1" ht="26.25" customHeight="1">
      <c r="A89" s="58" t="s">
        <v>174</v>
      </c>
      <c r="B89" s="47" t="s">
        <v>109</v>
      </c>
      <c r="C89" s="47" t="s">
        <v>674</v>
      </c>
      <c r="D89" s="47" t="s">
        <v>173</v>
      </c>
      <c r="E89" s="50">
        <f>E90</f>
        <v>0</v>
      </c>
      <c r="F89" s="83"/>
    </row>
    <row r="90" spans="1:6" s="1" customFormat="1" ht="32.25" customHeight="1">
      <c r="A90" s="58" t="s">
        <v>176</v>
      </c>
      <c r="B90" s="47" t="s">
        <v>109</v>
      </c>
      <c r="C90" s="47" t="s">
        <v>674</v>
      </c>
      <c r="D90" s="47" t="s">
        <v>175</v>
      </c>
      <c r="E90" s="50"/>
      <c r="F90" s="83"/>
    </row>
    <row r="91" spans="1:6" s="1" customFormat="1" ht="78" customHeight="1">
      <c r="A91" s="58" t="s">
        <v>692</v>
      </c>
      <c r="B91" s="47" t="s">
        <v>109</v>
      </c>
      <c r="C91" s="47" t="s">
        <v>691</v>
      </c>
      <c r="D91" s="47"/>
      <c r="E91" s="50">
        <f>E92</f>
        <v>0</v>
      </c>
      <c r="F91" s="83"/>
    </row>
    <row r="92" spans="1:6" s="1" customFormat="1" ht="60" customHeight="1">
      <c r="A92" s="58" t="s">
        <v>331</v>
      </c>
      <c r="B92" s="47" t="s">
        <v>109</v>
      </c>
      <c r="C92" s="47" t="s">
        <v>691</v>
      </c>
      <c r="D92" s="47" t="s">
        <v>179</v>
      </c>
      <c r="E92" s="50">
        <f>E93</f>
        <v>0</v>
      </c>
      <c r="F92" s="83"/>
    </row>
    <row r="93" spans="1:6" s="1" customFormat="1" ht="19.5" customHeight="1">
      <c r="A93" s="58" t="s">
        <v>172</v>
      </c>
      <c r="B93" s="47" t="s">
        <v>109</v>
      </c>
      <c r="C93" s="47" t="s">
        <v>691</v>
      </c>
      <c r="D93" s="47" t="s">
        <v>171</v>
      </c>
      <c r="E93" s="50"/>
      <c r="F93" s="83"/>
    </row>
    <row r="94" spans="1:6" s="1" customFormat="1" ht="74.25" customHeight="1">
      <c r="A94" s="58" t="s">
        <v>623</v>
      </c>
      <c r="B94" s="47" t="s">
        <v>109</v>
      </c>
      <c r="C94" s="47" t="s">
        <v>675</v>
      </c>
      <c r="D94" s="47"/>
      <c r="E94" s="50">
        <f>E95+E97</f>
        <v>0</v>
      </c>
      <c r="F94" s="83"/>
    </row>
    <row r="95" spans="1:6" s="1" customFormat="1" ht="31.5" customHeight="1">
      <c r="A95" s="58" t="s">
        <v>331</v>
      </c>
      <c r="B95" s="47" t="s">
        <v>109</v>
      </c>
      <c r="C95" s="47" t="s">
        <v>675</v>
      </c>
      <c r="D95" s="47" t="s">
        <v>179</v>
      </c>
      <c r="E95" s="50">
        <f>E96</f>
        <v>0</v>
      </c>
      <c r="F95" s="83"/>
    </row>
    <row r="96" spans="1:6" s="1" customFormat="1" ht="23.25" customHeight="1">
      <c r="A96" s="58" t="s">
        <v>172</v>
      </c>
      <c r="B96" s="47" t="s">
        <v>109</v>
      </c>
      <c r="C96" s="47" t="s">
        <v>675</v>
      </c>
      <c r="D96" s="47" t="s">
        <v>171</v>
      </c>
      <c r="E96" s="50"/>
      <c r="F96" s="83"/>
    </row>
    <row r="97" spans="1:6" s="1" customFormat="1" ht="23.25" customHeight="1">
      <c r="A97" s="58" t="s">
        <v>174</v>
      </c>
      <c r="B97" s="47" t="s">
        <v>109</v>
      </c>
      <c r="C97" s="47" t="s">
        <v>675</v>
      </c>
      <c r="D97" s="47" t="s">
        <v>173</v>
      </c>
      <c r="E97" s="50">
        <f>E98</f>
        <v>0</v>
      </c>
      <c r="F97" s="83"/>
    </row>
    <row r="98" spans="1:6" s="1" customFormat="1" ht="31.5" customHeight="1">
      <c r="A98" s="58" t="s">
        <v>176</v>
      </c>
      <c r="B98" s="47" t="s">
        <v>109</v>
      </c>
      <c r="C98" s="47" t="s">
        <v>675</v>
      </c>
      <c r="D98" s="47" t="s">
        <v>175</v>
      </c>
      <c r="E98" s="50"/>
      <c r="F98" s="83"/>
    </row>
    <row r="99" spans="1:6" s="1" customFormat="1" ht="76.5" customHeight="1">
      <c r="A99" s="58" t="s">
        <v>629</v>
      </c>
      <c r="B99" s="47" t="s">
        <v>109</v>
      </c>
      <c r="C99" s="47" t="s">
        <v>676</v>
      </c>
      <c r="D99" s="47"/>
      <c r="E99" s="50">
        <f>E100</f>
        <v>0</v>
      </c>
      <c r="F99" s="83"/>
    </row>
    <row r="100" spans="1:6" s="1" customFormat="1" ht="64.5" customHeight="1">
      <c r="A100" s="58" t="s">
        <v>331</v>
      </c>
      <c r="B100" s="47" t="s">
        <v>109</v>
      </c>
      <c r="C100" s="47" t="s">
        <v>676</v>
      </c>
      <c r="D100" s="47" t="s">
        <v>179</v>
      </c>
      <c r="E100" s="50">
        <f>E101</f>
        <v>0</v>
      </c>
      <c r="F100" s="83"/>
    </row>
    <row r="101" spans="1:6" s="1" customFormat="1" ht="24" customHeight="1">
      <c r="A101" s="58" t="s">
        <v>172</v>
      </c>
      <c r="B101" s="47" t="s">
        <v>109</v>
      </c>
      <c r="C101" s="47" t="s">
        <v>676</v>
      </c>
      <c r="D101" s="47" t="s">
        <v>171</v>
      </c>
      <c r="E101" s="50"/>
      <c r="F101" s="83"/>
    </row>
    <row r="102" spans="1:6" s="1" customFormat="1" ht="44.25" customHeight="1">
      <c r="A102" s="54" t="s">
        <v>63</v>
      </c>
      <c r="B102" s="63" t="s">
        <v>64</v>
      </c>
      <c r="C102" s="63"/>
      <c r="D102" s="63"/>
      <c r="E102" s="13">
        <f>E149+E107+E103</f>
        <v>0</v>
      </c>
      <c r="F102" s="13">
        <f>F149</f>
        <v>0</v>
      </c>
    </row>
    <row r="103" spans="1:6" s="1" customFormat="1" ht="78.75" customHeight="1">
      <c r="A103" s="36" t="s">
        <v>265</v>
      </c>
      <c r="B103" s="39" t="s">
        <v>64</v>
      </c>
      <c r="C103" s="37" t="s">
        <v>241</v>
      </c>
      <c r="D103" s="63"/>
      <c r="E103" s="40">
        <f>E104</f>
        <v>0</v>
      </c>
      <c r="F103" s="13"/>
    </row>
    <row r="104" spans="1:6" s="1" customFormat="1" ht="35.25" customHeight="1">
      <c r="A104" s="46" t="s">
        <v>240</v>
      </c>
      <c r="B104" s="39" t="s">
        <v>64</v>
      </c>
      <c r="C104" s="37" t="s">
        <v>239</v>
      </c>
      <c r="D104" s="63"/>
      <c r="E104" s="40">
        <f>E105</f>
        <v>0</v>
      </c>
      <c r="F104" s="13"/>
    </row>
    <row r="105" spans="1:6" s="1" customFormat="1" ht="29.25" customHeight="1">
      <c r="A105" s="46" t="s">
        <v>174</v>
      </c>
      <c r="B105" s="39" t="s">
        <v>64</v>
      </c>
      <c r="C105" s="37" t="s">
        <v>239</v>
      </c>
      <c r="D105" s="39" t="s">
        <v>173</v>
      </c>
      <c r="E105" s="40">
        <f>E106</f>
        <v>0</v>
      </c>
      <c r="F105" s="13"/>
    </row>
    <row r="106" spans="1:6" s="1" customFormat="1" ht="33" customHeight="1">
      <c r="A106" s="46" t="s">
        <v>176</v>
      </c>
      <c r="B106" s="39" t="s">
        <v>64</v>
      </c>
      <c r="C106" s="37" t="s">
        <v>239</v>
      </c>
      <c r="D106" s="39" t="s">
        <v>175</v>
      </c>
      <c r="E106" s="40"/>
      <c r="F106" s="13"/>
    </row>
    <row r="107" spans="1:6" s="1" customFormat="1" ht="21" customHeight="1">
      <c r="A107" s="36" t="s">
        <v>245</v>
      </c>
      <c r="B107" s="39" t="s">
        <v>64</v>
      </c>
      <c r="C107" s="37" t="s">
        <v>20</v>
      </c>
      <c r="D107" s="39"/>
      <c r="E107" s="40">
        <f>E108+E112</f>
        <v>0</v>
      </c>
      <c r="F107" s="40">
        <f>F149</f>
        <v>0</v>
      </c>
    </row>
    <row r="108" spans="1:6" s="1" customFormat="1" ht="46.5" customHeight="1">
      <c r="A108" s="36" t="s">
        <v>313</v>
      </c>
      <c r="B108" s="39" t="s">
        <v>64</v>
      </c>
      <c r="C108" s="37" t="s">
        <v>27</v>
      </c>
      <c r="D108" s="39"/>
      <c r="E108" s="40">
        <f>E109</f>
        <v>0</v>
      </c>
      <c r="F108" s="40"/>
    </row>
    <row r="109" spans="1:6" s="1" customFormat="1" ht="46.5" customHeight="1">
      <c r="A109" s="36" t="s">
        <v>502</v>
      </c>
      <c r="B109" s="39" t="s">
        <v>64</v>
      </c>
      <c r="C109" s="37" t="s">
        <v>28</v>
      </c>
      <c r="D109" s="39"/>
      <c r="E109" s="40">
        <f>E110</f>
        <v>0</v>
      </c>
      <c r="F109" s="40"/>
    </row>
    <row r="110" spans="1:6" s="1" customFormat="1" ht="21" customHeight="1">
      <c r="A110" s="46" t="s">
        <v>174</v>
      </c>
      <c r="B110" s="39" t="s">
        <v>64</v>
      </c>
      <c r="C110" s="37" t="s">
        <v>28</v>
      </c>
      <c r="D110" s="39" t="s">
        <v>173</v>
      </c>
      <c r="E110" s="40">
        <f>E111</f>
        <v>0</v>
      </c>
      <c r="F110" s="40"/>
    </row>
    <row r="111" spans="1:6" s="1" customFormat="1" ht="33" customHeight="1">
      <c r="A111" s="46" t="s">
        <v>176</v>
      </c>
      <c r="B111" s="39" t="s">
        <v>64</v>
      </c>
      <c r="C111" s="37" t="s">
        <v>28</v>
      </c>
      <c r="D111" s="39" t="s">
        <v>175</v>
      </c>
      <c r="E111" s="40"/>
      <c r="F111" s="40"/>
    </row>
    <row r="112" spans="1:6" s="1" customFormat="1" ht="21" customHeight="1">
      <c r="A112" s="41" t="s">
        <v>41</v>
      </c>
      <c r="B112" s="39" t="s">
        <v>64</v>
      </c>
      <c r="C112" s="37" t="s">
        <v>21</v>
      </c>
      <c r="D112" s="39"/>
      <c r="E112" s="40">
        <f>E113+E125</f>
        <v>0</v>
      </c>
      <c r="F112" s="40"/>
    </row>
    <row r="113" spans="1:6" s="1" customFormat="1" ht="21.75" customHeight="1">
      <c r="A113" s="41" t="s">
        <v>116</v>
      </c>
      <c r="B113" s="39" t="s">
        <v>64</v>
      </c>
      <c r="C113" s="39" t="s">
        <v>29</v>
      </c>
      <c r="D113" s="39"/>
      <c r="E113" s="40">
        <f>E114+E117+E120</f>
        <v>0</v>
      </c>
      <c r="F113" s="40"/>
    </row>
    <row r="114" spans="1:6" s="1" customFormat="1" ht="24.75" customHeight="1">
      <c r="A114" s="46" t="s">
        <v>158</v>
      </c>
      <c r="B114" s="39" t="s">
        <v>64</v>
      </c>
      <c r="C114" s="39" t="s">
        <v>30</v>
      </c>
      <c r="D114" s="39"/>
      <c r="E114" s="40">
        <f>E115</f>
        <v>0</v>
      </c>
      <c r="F114" s="40"/>
    </row>
    <row r="115" spans="1:6" s="1" customFormat="1" ht="63.75" customHeight="1">
      <c r="A115" s="43" t="s">
        <v>331</v>
      </c>
      <c r="B115" s="39" t="s">
        <v>64</v>
      </c>
      <c r="C115" s="39" t="s">
        <v>30</v>
      </c>
      <c r="D115" s="39" t="s">
        <v>179</v>
      </c>
      <c r="E115" s="40">
        <f>E116</f>
        <v>0</v>
      </c>
      <c r="F115" s="40"/>
    </row>
    <row r="116" spans="1:6" s="1" customFormat="1" ht="22.5" customHeight="1">
      <c r="A116" s="43" t="s">
        <v>172</v>
      </c>
      <c r="B116" s="39" t="s">
        <v>64</v>
      </c>
      <c r="C116" s="39" t="s">
        <v>30</v>
      </c>
      <c r="D116" s="39" t="s">
        <v>171</v>
      </c>
      <c r="E116" s="40"/>
      <c r="F116" s="40"/>
    </row>
    <row r="117" spans="1:6" s="1" customFormat="1" ht="24" customHeight="1">
      <c r="A117" s="46" t="s">
        <v>159</v>
      </c>
      <c r="B117" s="39" t="s">
        <v>64</v>
      </c>
      <c r="C117" s="39" t="s">
        <v>31</v>
      </c>
      <c r="D117" s="39"/>
      <c r="E117" s="40">
        <f>E118</f>
        <v>0</v>
      </c>
      <c r="F117" s="40"/>
    </row>
    <row r="118" spans="1:6" s="1" customFormat="1" ht="61.5" customHeight="1">
      <c r="A118" s="43" t="s">
        <v>331</v>
      </c>
      <c r="B118" s="39" t="s">
        <v>64</v>
      </c>
      <c r="C118" s="39" t="s">
        <v>31</v>
      </c>
      <c r="D118" s="39" t="s">
        <v>179</v>
      </c>
      <c r="E118" s="40">
        <f>E119</f>
        <v>0</v>
      </c>
      <c r="F118" s="40"/>
    </row>
    <row r="119" spans="1:6" s="1" customFormat="1" ht="19.5" customHeight="1">
      <c r="A119" s="43" t="s">
        <v>172</v>
      </c>
      <c r="B119" s="39" t="s">
        <v>64</v>
      </c>
      <c r="C119" s="39" t="s">
        <v>31</v>
      </c>
      <c r="D119" s="39" t="s">
        <v>171</v>
      </c>
      <c r="E119" s="40"/>
      <c r="F119" s="40"/>
    </row>
    <row r="120" spans="1:6" s="1" customFormat="1" ht="30.75" customHeight="1">
      <c r="A120" s="46" t="s">
        <v>68</v>
      </c>
      <c r="B120" s="39" t="s">
        <v>64</v>
      </c>
      <c r="C120" s="39" t="s">
        <v>32</v>
      </c>
      <c r="D120" s="39"/>
      <c r="E120" s="40">
        <f>E121+E123</f>
        <v>0</v>
      </c>
      <c r="F120" s="40"/>
    </row>
    <row r="121" spans="1:6" s="1" customFormat="1" ht="20.25" customHeight="1">
      <c r="A121" s="46" t="s">
        <v>174</v>
      </c>
      <c r="B121" s="39" t="s">
        <v>64</v>
      </c>
      <c r="C121" s="39" t="s">
        <v>32</v>
      </c>
      <c r="D121" s="39" t="s">
        <v>173</v>
      </c>
      <c r="E121" s="40">
        <f>E122</f>
        <v>0</v>
      </c>
      <c r="F121" s="40"/>
    </row>
    <row r="122" spans="1:6" s="1" customFormat="1" ht="33.75" customHeight="1">
      <c r="A122" s="36" t="s">
        <v>176</v>
      </c>
      <c r="B122" s="39" t="s">
        <v>64</v>
      </c>
      <c r="C122" s="39" t="s">
        <v>32</v>
      </c>
      <c r="D122" s="39" t="s">
        <v>175</v>
      </c>
      <c r="E122" s="40"/>
      <c r="F122" s="40"/>
    </row>
    <row r="123" spans="1:6" s="1" customFormat="1" ht="23.25" customHeight="1">
      <c r="A123" s="58" t="s">
        <v>178</v>
      </c>
      <c r="B123" s="39" t="s">
        <v>64</v>
      </c>
      <c r="C123" s="39" t="s">
        <v>32</v>
      </c>
      <c r="D123" s="39" t="s">
        <v>177</v>
      </c>
      <c r="E123" s="40">
        <f>E124</f>
        <v>0</v>
      </c>
      <c r="F123" s="40"/>
    </row>
    <row r="124" spans="1:6" s="1" customFormat="1" ht="18" customHeight="1">
      <c r="A124" s="46" t="s">
        <v>335</v>
      </c>
      <c r="B124" s="39" t="s">
        <v>64</v>
      </c>
      <c r="C124" s="39" t="s">
        <v>32</v>
      </c>
      <c r="D124" s="39" t="s">
        <v>334</v>
      </c>
      <c r="E124" s="40"/>
      <c r="F124" s="40"/>
    </row>
    <row r="125" spans="1:6" s="1" customFormat="1" ht="90.75" customHeight="1">
      <c r="A125" s="58" t="s">
        <v>609</v>
      </c>
      <c r="B125" s="39" t="s">
        <v>64</v>
      </c>
      <c r="C125" s="39" t="s">
        <v>610</v>
      </c>
      <c r="D125" s="39"/>
      <c r="E125" s="40">
        <f>E126</f>
        <v>0</v>
      </c>
      <c r="F125" s="40"/>
    </row>
    <row r="126" spans="1:6" s="1" customFormat="1" ht="18" customHeight="1">
      <c r="A126" s="58" t="s">
        <v>116</v>
      </c>
      <c r="B126" s="39" t="s">
        <v>64</v>
      </c>
      <c r="C126" s="39" t="s">
        <v>610</v>
      </c>
      <c r="D126" s="39"/>
      <c r="E126" s="40">
        <f>E127</f>
        <v>0</v>
      </c>
      <c r="F126" s="40"/>
    </row>
    <row r="127" spans="1:6" s="1" customFormat="1" ht="60.75" customHeight="1">
      <c r="A127" s="42" t="s">
        <v>331</v>
      </c>
      <c r="B127" s="39" t="s">
        <v>64</v>
      </c>
      <c r="C127" s="39" t="s">
        <v>610</v>
      </c>
      <c r="D127" s="39" t="s">
        <v>179</v>
      </c>
      <c r="E127" s="40">
        <f>E128</f>
        <v>0</v>
      </c>
      <c r="F127" s="40"/>
    </row>
    <row r="128" spans="1:6" s="1" customFormat="1" ht="18" customHeight="1">
      <c r="A128" s="42" t="s">
        <v>172</v>
      </c>
      <c r="B128" s="39" t="s">
        <v>64</v>
      </c>
      <c r="C128" s="39" t="s">
        <v>610</v>
      </c>
      <c r="D128" s="39" t="s">
        <v>171</v>
      </c>
      <c r="E128" s="40">
        <f>E132+E136+E140+E144+E148</f>
        <v>0</v>
      </c>
      <c r="F128" s="40"/>
    </row>
    <row r="129" spans="1:6" s="1" customFormat="1" ht="90.75" customHeight="1">
      <c r="A129" s="58" t="s">
        <v>611</v>
      </c>
      <c r="B129" s="39" t="s">
        <v>64</v>
      </c>
      <c r="C129" s="39" t="s">
        <v>612</v>
      </c>
      <c r="D129" s="39"/>
      <c r="E129" s="40">
        <f>E130</f>
        <v>0</v>
      </c>
      <c r="F129" s="40"/>
    </row>
    <row r="130" spans="1:6" s="1" customFormat="1" ht="18" customHeight="1">
      <c r="A130" s="58" t="s">
        <v>116</v>
      </c>
      <c r="B130" s="39" t="s">
        <v>64</v>
      </c>
      <c r="C130" s="39" t="s">
        <v>612</v>
      </c>
      <c r="D130" s="39"/>
      <c r="E130" s="40">
        <f>E131</f>
        <v>0</v>
      </c>
      <c r="F130" s="40"/>
    </row>
    <row r="131" spans="1:6" s="1" customFormat="1" ht="61.5" customHeight="1">
      <c r="A131" s="42" t="s">
        <v>331</v>
      </c>
      <c r="B131" s="39" t="s">
        <v>64</v>
      </c>
      <c r="C131" s="39" t="s">
        <v>612</v>
      </c>
      <c r="D131" s="39" t="s">
        <v>179</v>
      </c>
      <c r="E131" s="40">
        <f>E132</f>
        <v>0</v>
      </c>
      <c r="F131" s="40"/>
    </row>
    <row r="132" spans="1:6" s="1" customFormat="1" ht="21.75" customHeight="1">
      <c r="A132" s="42" t="s">
        <v>172</v>
      </c>
      <c r="B132" s="39" t="s">
        <v>64</v>
      </c>
      <c r="C132" s="39" t="s">
        <v>612</v>
      </c>
      <c r="D132" s="39" t="s">
        <v>171</v>
      </c>
      <c r="E132" s="40"/>
      <c r="F132" s="40"/>
    </row>
    <row r="133" spans="1:6" s="1" customFormat="1" ht="94.5" customHeight="1">
      <c r="A133" s="58" t="s">
        <v>613</v>
      </c>
      <c r="B133" s="39" t="s">
        <v>64</v>
      </c>
      <c r="C133" s="39" t="s">
        <v>614</v>
      </c>
      <c r="D133" s="39"/>
      <c r="E133" s="40">
        <f>E134</f>
        <v>0</v>
      </c>
      <c r="F133" s="40"/>
    </row>
    <row r="134" spans="1:6" s="1" customFormat="1" ht="18" customHeight="1">
      <c r="A134" s="58" t="s">
        <v>116</v>
      </c>
      <c r="B134" s="39" t="s">
        <v>64</v>
      </c>
      <c r="C134" s="39" t="s">
        <v>614</v>
      </c>
      <c r="D134" s="39"/>
      <c r="E134" s="40">
        <f>E135</f>
        <v>0</v>
      </c>
      <c r="F134" s="40"/>
    </row>
    <row r="135" spans="1:6" s="1" customFormat="1" ht="61.5" customHeight="1">
      <c r="A135" s="42" t="s">
        <v>331</v>
      </c>
      <c r="B135" s="39" t="s">
        <v>64</v>
      </c>
      <c r="C135" s="39" t="s">
        <v>614</v>
      </c>
      <c r="D135" s="39" t="s">
        <v>179</v>
      </c>
      <c r="E135" s="40">
        <f>E136</f>
        <v>0</v>
      </c>
      <c r="F135" s="40"/>
    </row>
    <row r="136" spans="1:6" s="1" customFormat="1" ht="18" customHeight="1">
      <c r="A136" s="42" t="s">
        <v>172</v>
      </c>
      <c r="B136" s="39" t="s">
        <v>64</v>
      </c>
      <c r="C136" s="39" t="s">
        <v>614</v>
      </c>
      <c r="D136" s="39" t="s">
        <v>171</v>
      </c>
      <c r="E136" s="40"/>
      <c r="F136" s="40"/>
    </row>
    <row r="137" spans="1:6" s="1" customFormat="1" ht="93.75" customHeight="1">
      <c r="A137" s="58" t="s">
        <v>615</v>
      </c>
      <c r="B137" s="39" t="s">
        <v>64</v>
      </c>
      <c r="C137" s="39" t="s">
        <v>616</v>
      </c>
      <c r="D137" s="39"/>
      <c r="E137" s="40">
        <f>E138</f>
        <v>0</v>
      </c>
      <c r="F137" s="40"/>
    </row>
    <row r="138" spans="1:6" s="1" customFormat="1" ht="18" customHeight="1">
      <c r="A138" s="58" t="s">
        <v>116</v>
      </c>
      <c r="B138" s="39" t="s">
        <v>64</v>
      </c>
      <c r="C138" s="39" t="s">
        <v>616</v>
      </c>
      <c r="D138" s="39"/>
      <c r="E138" s="40">
        <f>E139</f>
        <v>0</v>
      </c>
      <c r="F138" s="40"/>
    </row>
    <row r="139" spans="1:6" s="1" customFormat="1" ht="63" customHeight="1">
      <c r="A139" s="42" t="s">
        <v>331</v>
      </c>
      <c r="B139" s="39" t="s">
        <v>64</v>
      </c>
      <c r="C139" s="39" t="s">
        <v>616</v>
      </c>
      <c r="D139" s="39" t="s">
        <v>179</v>
      </c>
      <c r="E139" s="40">
        <f>E140</f>
        <v>0</v>
      </c>
      <c r="F139" s="40"/>
    </row>
    <row r="140" spans="1:6" s="1" customFormat="1" ht="18" customHeight="1">
      <c r="A140" s="42" t="s">
        <v>172</v>
      </c>
      <c r="B140" s="39" t="s">
        <v>64</v>
      </c>
      <c r="C140" s="39" t="s">
        <v>616</v>
      </c>
      <c r="D140" s="39" t="s">
        <v>171</v>
      </c>
      <c r="E140" s="40"/>
      <c r="F140" s="40"/>
    </row>
    <row r="141" spans="1:6" s="1" customFormat="1" ht="93.75" customHeight="1">
      <c r="A141" s="58" t="s">
        <v>617</v>
      </c>
      <c r="B141" s="39" t="s">
        <v>64</v>
      </c>
      <c r="C141" s="39" t="s">
        <v>618</v>
      </c>
      <c r="D141" s="39"/>
      <c r="E141" s="40">
        <f>E142</f>
        <v>0</v>
      </c>
      <c r="F141" s="40"/>
    </row>
    <row r="142" spans="1:6" s="1" customFormat="1" ht="18" customHeight="1">
      <c r="A142" s="58" t="s">
        <v>116</v>
      </c>
      <c r="B142" s="39" t="s">
        <v>64</v>
      </c>
      <c r="C142" s="39" t="s">
        <v>618</v>
      </c>
      <c r="D142" s="39"/>
      <c r="E142" s="40">
        <f>E143</f>
        <v>0</v>
      </c>
      <c r="F142" s="40"/>
    </row>
    <row r="143" spans="1:6" s="1" customFormat="1" ht="62.25" customHeight="1">
      <c r="A143" s="42" t="s">
        <v>331</v>
      </c>
      <c r="B143" s="39" t="s">
        <v>64</v>
      </c>
      <c r="C143" s="39" t="s">
        <v>618</v>
      </c>
      <c r="D143" s="39" t="s">
        <v>179</v>
      </c>
      <c r="E143" s="40">
        <f>E144</f>
        <v>0</v>
      </c>
      <c r="F143" s="40"/>
    </row>
    <row r="144" spans="1:6" s="1" customFormat="1" ht="18" customHeight="1">
      <c r="A144" s="42" t="s">
        <v>172</v>
      </c>
      <c r="B144" s="39" t="s">
        <v>64</v>
      </c>
      <c r="C144" s="39" t="s">
        <v>618</v>
      </c>
      <c r="D144" s="39" t="s">
        <v>171</v>
      </c>
      <c r="E144" s="40"/>
      <c r="F144" s="40"/>
    </row>
    <row r="145" spans="1:6" s="1" customFormat="1" ht="92.25" customHeight="1">
      <c r="A145" s="58" t="s">
        <v>619</v>
      </c>
      <c r="B145" s="39" t="s">
        <v>64</v>
      </c>
      <c r="C145" s="39" t="s">
        <v>620</v>
      </c>
      <c r="D145" s="39"/>
      <c r="E145" s="40">
        <f>E146</f>
        <v>0</v>
      </c>
      <c r="F145" s="40"/>
    </row>
    <row r="146" spans="1:6" s="1" customFormat="1" ht="18" customHeight="1">
      <c r="A146" s="58" t="s">
        <v>116</v>
      </c>
      <c r="B146" s="39" t="s">
        <v>64</v>
      </c>
      <c r="C146" s="39" t="s">
        <v>620</v>
      </c>
      <c r="D146" s="39"/>
      <c r="E146" s="40">
        <f>E147</f>
        <v>0</v>
      </c>
      <c r="F146" s="40"/>
    </row>
    <row r="147" spans="1:6" s="1" customFormat="1" ht="66" customHeight="1">
      <c r="A147" s="42" t="s">
        <v>331</v>
      </c>
      <c r="B147" s="39" t="s">
        <v>64</v>
      </c>
      <c r="C147" s="39" t="s">
        <v>620</v>
      </c>
      <c r="D147" s="39" t="s">
        <v>179</v>
      </c>
      <c r="E147" s="40">
        <f>E148</f>
        <v>0</v>
      </c>
      <c r="F147" s="40"/>
    </row>
    <row r="148" spans="1:6" s="1" customFormat="1" ht="18" customHeight="1">
      <c r="A148" s="42" t="s">
        <v>172</v>
      </c>
      <c r="B148" s="39" t="s">
        <v>64</v>
      </c>
      <c r="C148" s="39" t="s">
        <v>620</v>
      </c>
      <c r="D148" s="39" t="s">
        <v>171</v>
      </c>
      <c r="E148" s="40"/>
      <c r="F148" s="40"/>
    </row>
    <row r="149" spans="1:6" s="1" customFormat="1" ht="23.25" customHeight="1">
      <c r="A149" s="36" t="s">
        <v>245</v>
      </c>
      <c r="B149" s="39" t="s">
        <v>64</v>
      </c>
      <c r="C149" s="39" t="s">
        <v>21</v>
      </c>
      <c r="D149" s="39"/>
      <c r="E149" s="40">
        <f>E150</f>
        <v>0</v>
      </c>
      <c r="F149" s="40">
        <f>F152</f>
        <v>0</v>
      </c>
    </row>
    <row r="150" spans="1:6" s="1" customFormat="1" ht="30.75" customHeight="1">
      <c r="A150" s="105" t="s">
        <v>311</v>
      </c>
      <c r="B150" s="39" t="s">
        <v>64</v>
      </c>
      <c r="C150" s="37" t="s">
        <v>21</v>
      </c>
      <c r="D150" s="39"/>
      <c r="E150" s="40">
        <f>E151</f>
        <v>0</v>
      </c>
      <c r="F150" s="40"/>
    </row>
    <row r="151" spans="1:6" s="1" customFormat="1" ht="20.25" customHeight="1">
      <c r="A151" s="41" t="s">
        <v>41</v>
      </c>
      <c r="B151" s="39" t="s">
        <v>64</v>
      </c>
      <c r="C151" s="37" t="s">
        <v>21</v>
      </c>
      <c r="D151" s="39"/>
      <c r="E151" s="40">
        <f>E152+E164+E167</f>
        <v>0</v>
      </c>
      <c r="F151" s="40"/>
    </row>
    <row r="152" spans="1:6" s="1" customFormat="1" ht="17.25" customHeight="1">
      <c r="A152" s="41" t="s">
        <v>116</v>
      </c>
      <c r="B152" s="39" t="s">
        <v>64</v>
      </c>
      <c r="C152" s="39" t="s">
        <v>29</v>
      </c>
      <c r="D152" s="39"/>
      <c r="E152" s="40">
        <f>E156+E159+E153</f>
        <v>0</v>
      </c>
      <c r="F152" s="40"/>
    </row>
    <row r="153" spans="1:6" s="1" customFormat="1" ht="22.5" customHeight="1">
      <c r="A153" s="46" t="s">
        <v>158</v>
      </c>
      <c r="B153" s="39" t="s">
        <v>64</v>
      </c>
      <c r="C153" s="39" t="s">
        <v>30</v>
      </c>
      <c r="D153" s="39"/>
      <c r="E153" s="40">
        <f>E154</f>
        <v>0</v>
      </c>
      <c r="F153" s="40"/>
    </row>
    <row r="154" spans="1:6" s="1" customFormat="1" ht="65.25" customHeight="1">
      <c r="A154" s="43" t="s">
        <v>331</v>
      </c>
      <c r="B154" s="39" t="s">
        <v>64</v>
      </c>
      <c r="C154" s="39" t="s">
        <v>30</v>
      </c>
      <c r="D154" s="39" t="s">
        <v>179</v>
      </c>
      <c r="E154" s="40">
        <f>E155</f>
        <v>0</v>
      </c>
      <c r="F154" s="40"/>
    </row>
    <row r="155" spans="1:6" s="1" customFormat="1" ht="24" customHeight="1">
      <c r="A155" s="43" t="s">
        <v>172</v>
      </c>
      <c r="B155" s="39" t="s">
        <v>64</v>
      </c>
      <c r="C155" s="39" t="s">
        <v>30</v>
      </c>
      <c r="D155" s="39" t="s">
        <v>171</v>
      </c>
      <c r="E155" s="40"/>
      <c r="F155" s="40"/>
    </row>
    <row r="156" spans="1:6" s="1" customFormat="1" ht="21" customHeight="1">
      <c r="A156" s="46" t="s">
        <v>159</v>
      </c>
      <c r="B156" s="39" t="s">
        <v>64</v>
      </c>
      <c r="C156" s="39" t="s">
        <v>31</v>
      </c>
      <c r="D156" s="39"/>
      <c r="E156" s="40">
        <f>E157</f>
        <v>0</v>
      </c>
      <c r="F156" s="40"/>
    </row>
    <row r="157" spans="1:6" s="1" customFormat="1" ht="61.5" customHeight="1">
      <c r="A157" s="43" t="s">
        <v>331</v>
      </c>
      <c r="B157" s="39" t="s">
        <v>64</v>
      </c>
      <c r="C157" s="39" t="s">
        <v>31</v>
      </c>
      <c r="D157" s="39" t="s">
        <v>179</v>
      </c>
      <c r="E157" s="40">
        <f>E158</f>
        <v>0</v>
      </c>
      <c r="F157" s="40"/>
    </row>
    <row r="158" spans="1:6" s="1" customFormat="1" ht="21" customHeight="1">
      <c r="A158" s="43" t="s">
        <v>172</v>
      </c>
      <c r="B158" s="39" t="s">
        <v>64</v>
      </c>
      <c r="C158" s="39" t="s">
        <v>31</v>
      </c>
      <c r="D158" s="39" t="s">
        <v>171</v>
      </c>
      <c r="E158" s="40"/>
      <c r="F158" s="40"/>
    </row>
    <row r="159" spans="1:6" s="1" customFormat="1" ht="30.75" customHeight="1">
      <c r="A159" s="46" t="s">
        <v>68</v>
      </c>
      <c r="B159" s="39" t="s">
        <v>64</v>
      </c>
      <c r="C159" s="39" t="s">
        <v>32</v>
      </c>
      <c r="D159" s="39"/>
      <c r="E159" s="40">
        <f>E160+E162</f>
        <v>0</v>
      </c>
      <c r="F159" s="40"/>
    </row>
    <row r="160" spans="1:6" s="1" customFormat="1" ht="20.25" customHeight="1">
      <c r="A160" s="46" t="s">
        <v>174</v>
      </c>
      <c r="B160" s="39" t="s">
        <v>64</v>
      </c>
      <c r="C160" s="39" t="s">
        <v>32</v>
      </c>
      <c r="D160" s="39" t="s">
        <v>173</v>
      </c>
      <c r="E160" s="40">
        <f>E161</f>
        <v>0</v>
      </c>
      <c r="F160" s="40"/>
    </row>
    <row r="161" spans="1:6" s="1" customFormat="1" ht="31.5" customHeight="1">
      <c r="A161" s="46" t="s">
        <v>176</v>
      </c>
      <c r="B161" s="39" t="s">
        <v>64</v>
      </c>
      <c r="C161" s="39" t="s">
        <v>32</v>
      </c>
      <c r="D161" s="39" t="s">
        <v>175</v>
      </c>
      <c r="E161" s="40"/>
      <c r="F161" s="40"/>
    </row>
    <row r="162" spans="1:6" s="1" customFormat="1" ht="24.75" customHeight="1">
      <c r="A162" s="46" t="s">
        <v>178</v>
      </c>
      <c r="B162" s="39" t="s">
        <v>64</v>
      </c>
      <c r="C162" s="39" t="s">
        <v>32</v>
      </c>
      <c r="D162" s="39" t="s">
        <v>177</v>
      </c>
      <c r="E162" s="40">
        <f>E163</f>
        <v>0</v>
      </c>
      <c r="F162" s="40"/>
    </row>
    <row r="163" spans="1:6" s="1" customFormat="1" ht="24" customHeight="1">
      <c r="A163" s="46" t="s">
        <v>335</v>
      </c>
      <c r="B163" s="39" t="s">
        <v>64</v>
      </c>
      <c r="C163" s="39" t="s">
        <v>32</v>
      </c>
      <c r="D163" s="39" t="s">
        <v>334</v>
      </c>
      <c r="E163" s="40"/>
      <c r="F163" s="40"/>
    </row>
    <row r="164" spans="1:6" s="1" customFormat="1" ht="30" customHeight="1">
      <c r="A164" s="55" t="s">
        <v>447</v>
      </c>
      <c r="B164" s="39" t="s">
        <v>64</v>
      </c>
      <c r="C164" s="39" t="s">
        <v>310</v>
      </c>
      <c r="D164" s="39"/>
      <c r="E164" s="40">
        <f>E165</f>
        <v>0</v>
      </c>
      <c r="F164" s="40"/>
    </row>
    <row r="165" spans="1:6" s="1" customFormat="1" ht="60.75" customHeight="1">
      <c r="A165" s="43" t="s">
        <v>331</v>
      </c>
      <c r="B165" s="39" t="s">
        <v>64</v>
      </c>
      <c r="C165" s="39" t="s">
        <v>310</v>
      </c>
      <c r="D165" s="39" t="s">
        <v>179</v>
      </c>
      <c r="E165" s="40">
        <f>E166</f>
        <v>0</v>
      </c>
      <c r="F165" s="40"/>
    </row>
    <row r="166" spans="1:6" s="1" customFormat="1" ht="22.5" customHeight="1">
      <c r="A166" s="43" t="s">
        <v>172</v>
      </c>
      <c r="B166" s="39" t="s">
        <v>64</v>
      </c>
      <c r="C166" s="39" t="s">
        <v>310</v>
      </c>
      <c r="D166" s="39" t="s">
        <v>171</v>
      </c>
      <c r="E166" s="40"/>
      <c r="F166" s="40"/>
    </row>
    <row r="167" spans="1:6" s="1" customFormat="1" ht="63" customHeight="1">
      <c r="A167" s="58" t="s">
        <v>547</v>
      </c>
      <c r="B167" s="39" t="s">
        <v>64</v>
      </c>
      <c r="C167" s="39" t="s">
        <v>548</v>
      </c>
      <c r="D167" s="39"/>
      <c r="E167" s="40">
        <f>E168+E171</f>
        <v>0</v>
      </c>
      <c r="F167" s="40"/>
    </row>
    <row r="168" spans="1:6" s="1" customFormat="1" ht="22.5" customHeight="1">
      <c r="A168" s="58" t="s">
        <v>159</v>
      </c>
      <c r="B168" s="39" t="s">
        <v>64</v>
      </c>
      <c r="C168" s="39" t="s">
        <v>548</v>
      </c>
      <c r="D168" s="39"/>
      <c r="E168" s="40">
        <f>E169</f>
        <v>0</v>
      </c>
      <c r="F168" s="40"/>
    </row>
    <row r="169" spans="1:6" s="1" customFormat="1" ht="61.5" customHeight="1">
      <c r="A169" s="42" t="s">
        <v>331</v>
      </c>
      <c r="B169" s="39" t="s">
        <v>64</v>
      </c>
      <c r="C169" s="39" t="s">
        <v>548</v>
      </c>
      <c r="D169" s="39" t="s">
        <v>179</v>
      </c>
      <c r="E169" s="40">
        <f>E170</f>
        <v>0</v>
      </c>
      <c r="F169" s="40"/>
    </row>
    <row r="170" spans="1:6" s="1" customFormat="1" ht="22.5" customHeight="1">
      <c r="A170" s="42" t="s">
        <v>172</v>
      </c>
      <c r="B170" s="39" t="s">
        <v>64</v>
      </c>
      <c r="C170" s="39" t="s">
        <v>548</v>
      </c>
      <c r="D170" s="39" t="s">
        <v>171</v>
      </c>
      <c r="E170" s="40"/>
      <c r="F170" s="40"/>
    </row>
    <row r="171" spans="1:6" s="1" customFormat="1" ht="31.5" customHeight="1">
      <c r="A171" s="58" t="s">
        <v>68</v>
      </c>
      <c r="B171" s="39" t="s">
        <v>64</v>
      </c>
      <c r="C171" s="39" t="s">
        <v>548</v>
      </c>
      <c r="D171" s="39"/>
      <c r="E171" s="40">
        <f>E172</f>
        <v>0</v>
      </c>
      <c r="F171" s="40"/>
    </row>
    <row r="172" spans="1:6" s="1" customFormat="1" ht="22.5" customHeight="1">
      <c r="A172" s="58" t="s">
        <v>174</v>
      </c>
      <c r="B172" s="39" t="s">
        <v>64</v>
      </c>
      <c r="C172" s="39" t="s">
        <v>548</v>
      </c>
      <c r="D172" s="39" t="s">
        <v>173</v>
      </c>
      <c r="E172" s="40">
        <f>E173</f>
        <v>0</v>
      </c>
      <c r="F172" s="40"/>
    </row>
    <row r="173" spans="1:6" s="1" customFormat="1" ht="31.5" customHeight="1">
      <c r="A173" s="58" t="s">
        <v>176</v>
      </c>
      <c r="B173" s="39" t="s">
        <v>64</v>
      </c>
      <c r="C173" s="39" t="s">
        <v>548</v>
      </c>
      <c r="D173" s="39" t="s">
        <v>175</v>
      </c>
      <c r="E173" s="40"/>
      <c r="F173" s="40"/>
    </row>
    <row r="174" spans="1:6" s="1" customFormat="1" ht="77.25" customHeight="1">
      <c r="A174" s="58" t="s">
        <v>584</v>
      </c>
      <c r="B174" s="39" t="s">
        <v>64</v>
      </c>
      <c r="C174" s="39" t="s">
        <v>585</v>
      </c>
      <c r="D174" s="39"/>
      <c r="E174" s="40">
        <f>E175+E178</f>
        <v>0</v>
      </c>
      <c r="F174" s="40"/>
    </row>
    <row r="175" spans="1:6" s="1" customFormat="1" ht="20.25" customHeight="1">
      <c r="A175" s="58" t="s">
        <v>159</v>
      </c>
      <c r="B175" s="39" t="s">
        <v>64</v>
      </c>
      <c r="C175" s="39" t="s">
        <v>585</v>
      </c>
      <c r="D175" s="39"/>
      <c r="E175" s="40">
        <f>E176</f>
        <v>0</v>
      </c>
      <c r="F175" s="40"/>
    </row>
    <row r="176" spans="1:6" s="1" customFormat="1" ht="63.75" customHeight="1">
      <c r="A176" s="42" t="s">
        <v>331</v>
      </c>
      <c r="B176" s="39" t="s">
        <v>64</v>
      </c>
      <c r="C176" s="39" t="s">
        <v>585</v>
      </c>
      <c r="D176" s="39" t="s">
        <v>179</v>
      </c>
      <c r="E176" s="40">
        <f>E177</f>
        <v>0</v>
      </c>
      <c r="F176" s="40"/>
    </row>
    <row r="177" spans="1:6" s="1" customFormat="1" ht="20.25" customHeight="1">
      <c r="A177" s="42" t="s">
        <v>172</v>
      </c>
      <c r="B177" s="39" t="s">
        <v>64</v>
      </c>
      <c r="C177" s="39" t="s">
        <v>585</v>
      </c>
      <c r="D177" s="39" t="s">
        <v>171</v>
      </c>
      <c r="E177" s="40"/>
      <c r="F177" s="40"/>
    </row>
    <row r="178" spans="1:6" s="1" customFormat="1" ht="31.5" customHeight="1">
      <c r="A178" s="58" t="s">
        <v>68</v>
      </c>
      <c r="B178" s="39" t="s">
        <v>64</v>
      </c>
      <c r="C178" s="39" t="s">
        <v>585</v>
      </c>
      <c r="D178" s="39"/>
      <c r="E178" s="40">
        <f>E179</f>
        <v>0</v>
      </c>
      <c r="F178" s="40"/>
    </row>
    <row r="179" spans="1:6" s="1" customFormat="1" ht="20.25" customHeight="1">
      <c r="A179" s="58" t="s">
        <v>174</v>
      </c>
      <c r="B179" s="39" t="s">
        <v>64</v>
      </c>
      <c r="C179" s="39" t="s">
        <v>585</v>
      </c>
      <c r="D179" s="39" t="s">
        <v>173</v>
      </c>
      <c r="E179" s="40">
        <f>E180</f>
        <v>0</v>
      </c>
      <c r="F179" s="40"/>
    </row>
    <row r="180" spans="1:6" s="1" customFormat="1" ht="31.5" customHeight="1">
      <c r="A180" s="58" t="s">
        <v>176</v>
      </c>
      <c r="B180" s="39" t="s">
        <v>64</v>
      </c>
      <c r="C180" s="39" t="s">
        <v>585</v>
      </c>
      <c r="D180" s="39" t="s">
        <v>175</v>
      </c>
      <c r="E180" s="40"/>
      <c r="F180" s="40"/>
    </row>
    <row r="181" spans="1:6" s="1" customFormat="1" ht="75" customHeight="1">
      <c r="A181" s="58" t="s">
        <v>550</v>
      </c>
      <c r="B181" s="39" t="s">
        <v>64</v>
      </c>
      <c r="C181" s="39" t="s">
        <v>549</v>
      </c>
      <c r="D181" s="39"/>
      <c r="E181" s="40">
        <f>E182</f>
        <v>0</v>
      </c>
      <c r="F181" s="40"/>
    </row>
    <row r="182" spans="1:6" s="1" customFormat="1" ht="24.75" customHeight="1">
      <c r="A182" s="58" t="s">
        <v>159</v>
      </c>
      <c r="B182" s="39" t="s">
        <v>64</v>
      </c>
      <c r="C182" s="39" t="s">
        <v>549</v>
      </c>
      <c r="D182" s="39"/>
      <c r="E182" s="40">
        <f>E183</f>
        <v>0</v>
      </c>
      <c r="F182" s="40"/>
    </row>
    <row r="183" spans="1:6" s="1" customFormat="1" ht="64.5" customHeight="1">
      <c r="A183" s="42" t="s">
        <v>331</v>
      </c>
      <c r="B183" s="39" t="s">
        <v>64</v>
      </c>
      <c r="C183" s="39" t="s">
        <v>549</v>
      </c>
      <c r="D183" s="39" t="s">
        <v>179</v>
      </c>
      <c r="E183" s="40">
        <f>E184</f>
        <v>0</v>
      </c>
      <c r="F183" s="40"/>
    </row>
    <row r="184" spans="1:6" s="1" customFormat="1" ht="23.25" customHeight="1">
      <c r="A184" s="42" t="s">
        <v>172</v>
      </c>
      <c r="B184" s="39" t="s">
        <v>64</v>
      </c>
      <c r="C184" s="39" t="s">
        <v>549</v>
      </c>
      <c r="D184" s="39" t="s">
        <v>171</v>
      </c>
      <c r="E184" s="40"/>
      <c r="F184" s="40"/>
    </row>
    <row r="185" spans="1:6" s="1" customFormat="1" ht="74.25" customHeight="1">
      <c r="A185" s="58" t="s">
        <v>568</v>
      </c>
      <c r="B185" s="39" t="s">
        <v>64</v>
      </c>
      <c r="C185" s="39" t="s">
        <v>569</v>
      </c>
      <c r="D185" s="39"/>
      <c r="E185" s="40">
        <f>E186+E189</f>
        <v>0</v>
      </c>
      <c r="F185" s="40"/>
    </row>
    <row r="186" spans="1:6" s="1" customFormat="1" ht="23.25" customHeight="1">
      <c r="A186" s="58" t="s">
        <v>159</v>
      </c>
      <c r="B186" s="39" t="s">
        <v>64</v>
      </c>
      <c r="C186" s="39" t="s">
        <v>569</v>
      </c>
      <c r="D186" s="39"/>
      <c r="E186" s="40">
        <f>E187</f>
        <v>0</v>
      </c>
      <c r="F186" s="40"/>
    </row>
    <row r="187" spans="1:6" s="1" customFormat="1" ht="62.25" customHeight="1">
      <c r="A187" s="42" t="s">
        <v>331</v>
      </c>
      <c r="B187" s="39" t="s">
        <v>64</v>
      </c>
      <c r="C187" s="39" t="s">
        <v>569</v>
      </c>
      <c r="D187" s="39" t="s">
        <v>179</v>
      </c>
      <c r="E187" s="40">
        <f>E188</f>
        <v>0</v>
      </c>
      <c r="F187" s="40"/>
    </row>
    <row r="188" spans="1:6" s="1" customFormat="1" ht="23.25" customHeight="1">
      <c r="A188" s="42" t="s">
        <v>172</v>
      </c>
      <c r="B188" s="39" t="s">
        <v>64</v>
      </c>
      <c r="C188" s="39" t="s">
        <v>569</v>
      </c>
      <c r="D188" s="39" t="s">
        <v>171</v>
      </c>
      <c r="E188" s="40"/>
      <c r="F188" s="40"/>
    </row>
    <row r="189" spans="1:6" s="1" customFormat="1" ht="31.5" customHeight="1">
      <c r="A189" s="58" t="s">
        <v>68</v>
      </c>
      <c r="B189" s="39" t="s">
        <v>64</v>
      </c>
      <c r="C189" s="39" t="s">
        <v>569</v>
      </c>
      <c r="D189" s="39"/>
      <c r="E189" s="40">
        <f>E190</f>
        <v>0</v>
      </c>
      <c r="F189" s="40"/>
    </row>
    <row r="190" spans="1:6" s="1" customFormat="1" ht="23.25" customHeight="1">
      <c r="A190" s="58" t="s">
        <v>174</v>
      </c>
      <c r="B190" s="39" t="s">
        <v>64</v>
      </c>
      <c r="C190" s="39" t="s">
        <v>569</v>
      </c>
      <c r="D190" s="39" t="s">
        <v>173</v>
      </c>
      <c r="E190" s="40">
        <f>E191</f>
        <v>0</v>
      </c>
      <c r="F190" s="40"/>
    </row>
    <row r="191" spans="1:6" s="1" customFormat="1" ht="31.5" customHeight="1">
      <c r="A191" s="58" t="s">
        <v>176</v>
      </c>
      <c r="B191" s="39" t="s">
        <v>64</v>
      </c>
      <c r="C191" s="39" t="s">
        <v>569</v>
      </c>
      <c r="D191" s="39" t="s">
        <v>175</v>
      </c>
      <c r="E191" s="40"/>
      <c r="F191" s="40"/>
    </row>
    <row r="192" spans="1:6" s="1" customFormat="1" ht="76.5" customHeight="1">
      <c r="A192" s="58" t="s">
        <v>570</v>
      </c>
      <c r="B192" s="39" t="s">
        <v>64</v>
      </c>
      <c r="C192" s="39" t="s">
        <v>571</v>
      </c>
      <c r="D192" s="39"/>
      <c r="E192" s="40">
        <f>E193+E196</f>
        <v>0</v>
      </c>
      <c r="F192" s="40"/>
    </row>
    <row r="193" spans="1:6" s="1" customFormat="1" ht="23.25" customHeight="1">
      <c r="A193" s="58" t="s">
        <v>159</v>
      </c>
      <c r="B193" s="39" t="s">
        <v>64</v>
      </c>
      <c r="C193" s="39" t="s">
        <v>571</v>
      </c>
      <c r="D193" s="39"/>
      <c r="E193" s="40">
        <f>E194</f>
        <v>0</v>
      </c>
      <c r="F193" s="40"/>
    </row>
    <row r="194" spans="1:6" s="1" customFormat="1" ht="68.25" customHeight="1">
      <c r="A194" s="42" t="s">
        <v>331</v>
      </c>
      <c r="B194" s="39" t="s">
        <v>64</v>
      </c>
      <c r="C194" s="39" t="s">
        <v>571</v>
      </c>
      <c r="D194" s="39" t="s">
        <v>179</v>
      </c>
      <c r="E194" s="40">
        <f>E195</f>
        <v>0</v>
      </c>
      <c r="F194" s="40"/>
    </row>
    <row r="195" spans="1:6" s="1" customFormat="1" ht="23.25" customHeight="1">
      <c r="A195" s="42" t="s">
        <v>172</v>
      </c>
      <c r="B195" s="39" t="s">
        <v>64</v>
      </c>
      <c r="C195" s="39" t="s">
        <v>571</v>
      </c>
      <c r="D195" s="39" t="s">
        <v>171</v>
      </c>
      <c r="E195" s="40"/>
      <c r="F195" s="40"/>
    </row>
    <row r="196" spans="1:6" s="1" customFormat="1" ht="32.25" customHeight="1">
      <c r="A196" s="58" t="s">
        <v>68</v>
      </c>
      <c r="B196" s="39" t="s">
        <v>64</v>
      </c>
      <c r="C196" s="39" t="s">
        <v>571</v>
      </c>
      <c r="D196" s="39"/>
      <c r="E196" s="40">
        <f>E197</f>
        <v>0</v>
      </c>
      <c r="F196" s="40"/>
    </row>
    <row r="197" spans="1:6" s="1" customFormat="1" ht="23.25" customHeight="1">
      <c r="A197" s="58" t="s">
        <v>174</v>
      </c>
      <c r="B197" s="39" t="s">
        <v>64</v>
      </c>
      <c r="C197" s="39" t="s">
        <v>571</v>
      </c>
      <c r="D197" s="39" t="s">
        <v>173</v>
      </c>
      <c r="E197" s="40">
        <f>E198</f>
        <v>0</v>
      </c>
      <c r="F197" s="40"/>
    </row>
    <row r="198" spans="1:6" s="1" customFormat="1" ht="32.25" customHeight="1">
      <c r="A198" s="58" t="s">
        <v>176</v>
      </c>
      <c r="B198" s="39" t="s">
        <v>64</v>
      </c>
      <c r="C198" s="39" t="s">
        <v>571</v>
      </c>
      <c r="D198" s="39" t="s">
        <v>175</v>
      </c>
      <c r="E198" s="40"/>
      <c r="F198" s="40"/>
    </row>
    <row r="199" spans="1:6" s="1" customFormat="1" ht="75.75" customHeight="1">
      <c r="A199" s="58" t="s">
        <v>572</v>
      </c>
      <c r="B199" s="39" t="s">
        <v>64</v>
      </c>
      <c r="C199" s="39" t="s">
        <v>573</v>
      </c>
      <c r="D199" s="39"/>
      <c r="E199" s="40">
        <f>E200+E203</f>
        <v>0</v>
      </c>
      <c r="F199" s="40"/>
    </row>
    <row r="200" spans="1:6" s="1" customFormat="1" ht="21.75" customHeight="1">
      <c r="A200" s="58" t="s">
        <v>159</v>
      </c>
      <c r="B200" s="39" t="s">
        <v>64</v>
      </c>
      <c r="C200" s="39" t="s">
        <v>573</v>
      </c>
      <c r="D200" s="39"/>
      <c r="E200" s="40">
        <f>E201</f>
        <v>0</v>
      </c>
      <c r="F200" s="40"/>
    </row>
    <row r="201" spans="1:6" s="1" customFormat="1" ht="62.25" customHeight="1">
      <c r="A201" s="42" t="s">
        <v>331</v>
      </c>
      <c r="B201" s="39" t="s">
        <v>64</v>
      </c>
      <c r="C201" s="39" t="s">
        <v>573</v>
      </c>
      <c r="D201" s="39" t="s">
        <v>179</v>
      </c>
      <c r="E201" s="40">
        <f>E202</f>
        <v>0</v>
      </c>
      <c r="F201" s="40"/>
    </row>
    <row r="202" spans="1:6" s="1" customFormat="1" ht="23.25" customHeight="1">
      <c r="A202" s="42" t="s">
        <v>172</v>
      </c>
      <c r="B202" s="39" t="s">
        <v>64</v>
      </c>
      <c r="C202" s="39" t="s">
        <v>573</v>
      </c>
      <c r="D202" s="39" t="s">
        <v>171</v>
      </c>
      <c r="E202" s="40"/>
      <c r="F202" s="40"/>
    </row>
    <row r="203" spans="1:6" s="1" customFormat="1" ht="32.25" customHeight="1">
      <c r="A203" s="58" t="s">
        <v>68</v>
      </c>
      <c r="B203" s="39" t="s">
        <v>64</v>
      </c>
      <c r="C203" s="39" t="s">
        <v>573</v>
      </c>
      <c r="D203" s="39"/>
      <c r="E203" s="40">
        <f>E204</f>
        <v>0</v>
      </c>
      <c r="F203" s="40"/>
    </row>
    <row r="204" spans="1:6" s="1" customFormat="1" ht="24.75" customHeight="1">
      <c r="A204" s="58" t="s">
        <v>174</v>
      </c>
      <c r="B204" s="39" t="s">
        <v>64</v>
      </c>
      <c r="C204" s="39" t="s">
        <v>573</v>
      </c>
      <c r="D204" s="39" t="s">
        <v>173</v>
      </c>
      <c r="E204" s="40">
        <f>E205</f>
        <v>0</v>
      </c>
      <c r="F204" s="40"/>
    </row>
    <row r="205" spans="1:6" s="1" customFormat="1" ht="32.25" customHeight="1">
      <c r="A205" s="58" t="s">
        <v>176</v>
      </c>
      <c r="B205" s="39" t="s">
        <v>64</v>
      </c>
      <c r="C205" s="39" t="s">
        <v>573</v>
      </c>
      <c r="D205" s="39" t="s">
        <v>175</v>
      </c>
      <c r="E205" s="40"/>
      <c r="F205" s="40"/>
    </row>
    <row r="206" spans="1:6" s="1" customFormat="1" ht="73.5" customHeight="1">
      <c r="A206" s="58" t="s">
        <v>574</v>
      </c>
      <c r="B206" s="39" t="s">
        <v>64</v>
      </c>
      <c r="C206" s="39" t="s">
        <v>575</v>
      </c>
      <c r="D206" s="39"/>
      <c r="E206" s="40">
        <f>E207+E210</f>
        <v>0</v>
      </c>
      <c r="F206" s="40"/>
    </row>
    <row r="207" spans="1:6" s="1" customFormat="1" ht="23.25" customHeight="1">
      <c r="A207" s="58" t="s">
        <v>159</v>
      </c>
      <c r="B207" s="39" t="s">
        <v>64</v>
      </c>
      <c r="C207" s="39" t="s">
        <v>575</v>
      </c>
      <c r="D207" s="39"/>
      <c r="E207" s="40">
        <f>E208</f>
        <v>0</v>
      </c>
      <c r="F207" s="40"/>
    </row>
    <row r="208" spans="1:6" s="1" customFormat="1" ht="60.75" customHeight="1">
      <c r="A208" s="42" t="s">
        <v>331</v>
      </c>
      <c r="B208" s="39" t="s">
        <v>64</v>
      </c>
      <c r="C208" s="39" t="s">
        <v>575</v>
      </c>
      <c r="D208" s="39" t="s">
        <v>179</v>
      </c>
      <c r="E208" s="40">
        <f>E209</f>
        <v>0</v>
      </c>
      <c r="F208" s="40"/>
    </row>
    <row r="209" spans="1:6" s="1" customFormat="1" ht="24" customHeight="1">
      <c r="A209" s="42" t="s">
        <v>172</v>
      </c>
      <c r="B209" s="39" t="s">
        <v>64</v>
      </c>
      <c r="C209" s="39" t="s">
        <v>575</v>
      </c>
      <c r="D209" s="39" t="s">
        <v>171</v>
      </c>
      <c r="E209" s="40"/>
      <c r="F209" s="40"/>
    </row>
    <row r="210" spans="1:6" s="1" customFormat="1" ht="32.25" customHeight="1">
      <c r="A210" s="58" t="s">
        <v>68</v>
      </c>
      <c r="B210" s="39" t="s">
        <v>64</v>
      </c>
      <c r="C210" s="39" t="s">
        <v>575</v>
      </c>
      <c r="D210" s="39"/>
      <c r="E210" s="40">
        <f>E211</f>
        <v>0</v>
      </c>
      <c r="F210" s="40"/>
    </row>
    <row r="211" spans="1:6" s="1" customFormat="1" ht="24" customHeight="1">
      <c r="A211" s="58" t="s">
        <v>174</v>
      </c>
      <c r="B211" s="39" t="s">
        <v>64</v>
      </c>
      <c r="C211" s="39" t="s">
        <v>575</v>
      </c>
      <c r="D211" s="39" t="s">
        <v>173</v>
      </c>
      <c r="E211" s="40">
        <f>E212</f>
        <v>0</v>
      </c>
      <c r="F211" s="40"/>
    </row>
    <row r="212" spans="1:6" s="1" customFormat="1" ht="32.25" customHeight="1">
      <c r="A212" s="58" t="s">
        <v>176</v>
      </c>
      <c r="B212" s="39" t="s">
        <v>64</v>
      </c>
      <c r="C212" s="39" t="s">
        <v>575</v>
      </c>
      <c r="D212" s="39" t="s">
        <v>175</v>
      </c>
      <c r="E212" s="40"/>
      <c r="F212" s="40"/>
    </row>
    <row r="213" spans="1:6" s="1" customFormat="1" ht="75.75" customHeight="1">
      <c r="A213" s="58" t="s">
        <v>576</v>
      </c>
      <c r="B213" s="39" t="s">
        <v>64</v>
      </c>
      <c r="C213" s="39" t="s">
        <v>577</v>
      </c>
      <c r="D213" s="39"/>
      <c r="E213" s="40">
        <f>E214+E217</f>
        <v>0</v>
      </c>
      <c r="F213" s="40"/>
    </row>
    <row r="214" spans="1:6" s="1" customFormat="1" ht="22.5" customHeight="1">
      <c r="A214" s="58" t="s">
        <v>159</v>
      </c>
      <c r="B214" s="39" t="s">
        <v>64</v>
      </c>
      <c r="C214" s="39" t="s">
        <v>577</v>
      </c>
      <c r="D214" s="39"/>
      <c r="E214" s="40">
        <f>E215</f>
        <v>0</v>
      </c>
      <c r="F214" s="40"/>
    </row>
    <row r="215" spans="1:6" s="1" customFormat="1" ht="62.25" customHeight="1">
      <c r="A215" s="42" t="s">
        <v>331</v>
      </c>
      <c r="B215" s="39" t="s">
        <v>64</v>
      </c>
      <c r="C215" s="39" t="s">
        <v>577</v>
      </c>
      <c r="D215" s="39" t="s">
        <v>179</v>
      </c>
      <c r="E215" s="40">
        <f>E216</f>
        <v>0</v>
      </c>
      <c r="F215" s="40"/>
    </row>
    <row r="216" spans="1:6" s="1" customFormat="1" ht="24.75" customHeight="1">
      <c r="A216" s="42" t="s">
        <v>172</v>
      </c>
      <c r="B216" s="39" t="s">
        <v>64</v>
      </c>
      <c r="C216" s="39" t="s">
        <v>577</v>
      </c>
      <c r="D216" s="39" t="s">
        <v>171</v>
      </c>
      <c r="E216" s="40"/>
      <c r="F216" s="40"/>
    </row>
    <row r="217" spans="1:6" s="1" customFormat="1" ht="32.25" customHeight="1">
      <c r="A217" s="58" t="s">
        <v>68</v>
      </c>
      <c r="B217" s="39" t="s">
        <v>64</v>
      </c>
      <c r="C217" s="39" t="s">
        <v>577</v>
      </c>
      <c r="D217" s="39"/>
      <c r="E217" s="40">
        <f>E218</f>
        <v>0</v>
      </c>
      <c r="F217" s="40"/>
    </row>
    <row r="218" spans="1:6" s="1" customFormat="1" ht="21.75" customHeight="1">
      <c r="A218" s="58" t="s">
        <v>174</v>
      </c>
      <c r="B218" s="39" t="s">
        <v>64</v>
      </c>
      <c r="C218" s="39" t="s">
        <v>577</v>
      </c>
      <c r="D218" s="39" t="s">
        <v>173</v>
      </c>
      <c r="E218" s="40">
        <f>E219</f>
        <v>0</v>
      </c>
      <c r="F218" s="40"/>
    </row>
    <row r="219" spans="1:6" s="1" customFormat="1" ht="32.25" customHeight="1">
      <c r="A219" s="58" t="s">
        <v>176</v>
      </c>
      <c r="B219" s="39" t="s">
        <v>64</v>
      </c>
      <c r="C219" s="39" t="s">
        <v>577</v>
      </c>
      <c r="D219" s="39" t="s">
        <v>175</v>
      </c>
      <c r="E219" s="40"/>
      <c r="F219" s="40"/>
    </row>
    <row r="220" spans="1:6" s="1" customFormat="1" ht="74.25" customHeight="1">
      <c r="A220" s="58" t="s">
        <v>578</v>
      </c>
      <c r="B220" s="39" t="s">
        <v>64</v>
      </c>
      <c r="C220" s="39" t="s">
        <v>579</v>
      </c>
      <c r="D220" s="39"/>
      <c r="E220" s="40">
        <f>E221+E224</f>
        <v>0</v>
      </c>
      <c r="F220" s="40"/>
    </row>
    <row r="221" spans="1:6" s="1" customFormat="1" ht="21" customHeight="1">
      <c r="A221" s="58" t="s">
        <v>159</v>
      </c>
      <c r="B221" s="39" t="s">
        <v>64</v>
      </c>
      <c r="C221" s="39" t="s">
        <v>579</v>
      </c>
      <c r="D221" s="39"/>
      <c r="E221" s="40">
        <f>E222</f>
        <v>0</v>
      </c>
      <c r="F221" s="40"/>
    </row>
    <row r="222" spans="1:6" s="1" customFormat="1" ht="60" customHeight="1">
      <c r="A222" s="42" t="s">
        <v>331</v>
      </c>
      <c r="B222" s="39" t="s">
        <v>64</v>
      </c>
      <c r="C222" s="39" t="s">
        <v>579</v>
      </c>
      <c r="D222" s="39" t="s">
        <v>179</v>
      </c>
      <c r="E222" s="40">
        <f>E223</f>
        <v>0</v>
      </c>
      <c r="F222" s="40"/>
    </row>
    <row r="223" spans="1:6" s="1" customFormat="1" ht="19.5" customHeight="1">
      <c r="A223" s="42" t="s">
        <v>172</v>
      </c>
      <c r="B223" s="39" t="s">
        <v>64</v>
      </c>
      <c r="C223" s="39" t="s">
        <v>579</v>
      </c>
      <c r="D223" s="39" t="s">
        <v>171</v>
      </c>
      <c r="E223" s="40"/>
      <c r="F223" s="40"/>
    </row>
    <row r="224" spans="1:6" s="1" customFormat="1" ht="32.25" customHeight="1">
      <c r="A224" s="58" t="s">
        <v>68</v>
      </c>
      <c r="B224" s="39" t="s">
        <v>64</v>
      </c>
      <c r="C224" s="39" t="s">
        <v>579</v>
      </c>
      <c r="D224" s="39"/>
      <c r="E224" s="40">
        <f>E225</f>
        <v>0</v>
      </c>
      <c r="F224" s="40"/>
    </row>
    <row r="225" spans="1:6" s="1" customFormat="1" ht="20.25" customHeight="1">
      <c r="A225" s="58" t="s">
        <v>174</v>
      </c>
      <c r="B225" s="39" t="s">
        <v>64</v>
      </c>
      <c r="C225" s="39" t="s">
        <v>579</v>
      </c>
      <c r="D225" s="39" t="s">
        <v>173</v>
      </c>
      <c r="E225" s="40">
        <f>E226</f>
        <v>0</v>
      </c>
      <c r="F225" s="40"/>
    </row>
    <row r="226" spans="1:6" s="1" customFormat="1" ht="32.25" customHeight="1">
      <c r="A226" s="58" t="s">
        <v>176</v>
      </c>
      <c r="B226" s="39" t="s">
        <v>64</v>
      </c>
      <c r="C226" s="39" t="s">
        <v>579</v>
      </c>
      <c r="D226" s="39" t="s">
        <v>175</v>
      </c>
      <c r="E226" s="40"/>
      <c r="F226" s="40"/>
    </row>
    <row r="227" spans="1:6" s="1" customFormat="1" ht="77.25" customHeight="1">
      <c r="A227" s="58" t="s">
        <v>580</v>
      </c>
      <c r="B227" s="39" t="s">
        <v>64</v>
      </c>
      <c r="C227" s="39" t="s">
        <v>581</v>
      </c>
      <c r="D227" s="39"/>
      <c r="E227" s="40">
        <f>E228+E231</f>
        <v>0</v>
      </c>
      <c r="F227" s="40"/>
    </row>
    <row r="228" spans="1:6" s="1" customFormat="1" ht="22.5" customHeight="1">
      <c r="A228" s="58" t="s">
        <v>159</v>
      </c>
      <c r="B228" s="39" t="s">
        <v>64</v>
      </c>
      <c r="C228" s="39" t="s">
        <v>581</v>
      </c>
      <c r="D228" s="39"/>
      <c r="E228" s="40">
        <f>E229</f>
        <v>0</v>
      </c>
      <c r="F228" s="40"/>
    </row>
    <row r="229" spans="1:6" s="1" customFormat="1" ht="58.5" customHeight="1">
      <c r="A229" s="42" t="s">
        <v>331</v>
      </c>
      <c r="B229" s="39" t="s">
        <v>64</v>
      </c>
      <c r="C229" s="39" t="s">
        <v>581</v>
      </c>
      <c r="D229" s="39" t="s">
        <v>179</v>
      </c>
      <c r="E229" s="40">
        <f>E230</f>
        <v>0</v>
      </c>
      <c r="F229" s="40"/>
    </row>
    <row r="230" spans="1:6" s="1" customFormat="1" ht="20.25" customHeight="1">
      <c r="A230" s="42" t="s">
        <v>172</v>
      </c>
      <c r="B230" s="39" t="s">
        <v>64</v>
      </c>
      <c r="C230" s="39" t="s">
        <v>581</v>
      </c>
      <c r="D230" s="39" t="s">
        <v>171</v>
      </c>
      <c r="E230" s="40"/>
      <c r="F230" s="40"/>
    </row>
    <row r="231" spans="1:6" s="1" customFormat="1" ht="32.25" customHeight="1">
      <c r="A231" s="58" t="s">
        <v>68</v>
      </c>
      <c r="B231" s="39" t="s">
        <v>64</v>
      </c>
      <c r="C231" s="39" t="s">
        <v>581</v>
      </c>
      <c r="D231" s="39"/>
      <c r="E231" s="40">
        <f>E232</f>
        <v>0</v>
      </c>
      <c r="F231" s="40"/>
    </row>
    <row r="232" spans="1:6" s="1" customFormat="1" ht="16.5" customHeight="1">
      <c r="A232" s="58" t="s">
        <v>174</v>
      </c>
      <c r="B232" s="39" t="s">
        <v>64</v>
      </c>
      <c r="C232" s="39" t="s">
        <v>581</v>
      </c>
      <c r="D232" s="39" t="s">
        <v>173</v>
      </c>
      <c r="E232" s="40">
        <f>E233</f>
        <v>0</v>
      </c>
      <c r="F232" s="40"/>
    </row>
    <row r="233" spans="1:6" s="1" customFormat="1" ht="32.25" customHeight="1">
      <c r="A233" s="58" t="s">
        <v>176</v>
      </c>
      <c r="B233" s="39" t="s">
        <v>64</v>
      </c>
      <c r="C233" s="39" t="s">
        <v>581</v>
      </c>
      <c r="D233" s="39" t="s">
        <v>175</v>
      </c>
      <c r="E233" s="40"/>
      <c r="F233" s="40"/>
    </row>
    <row r="234" spans="1:6" s="1" customFormat="1" ht="75.75" customHeight="1">
      <c r="A234" s="58" t="s">
        <v>582</v>
      </c>
      <c r="B234" s="39" t="s">
        <v>64</v>
      </c>
      <c r="C234" s="39" t="s">
        <v>583</v>
      </c>
      <c r="D234" s="39"/>
      <c r="E234" s="40">
        <f>E235+E238</f>
        <v>0</v>
      </c>
      <c r="F234" s="40"/>
    </row>
    <row r="235" spans="1:6" s="1" customFormat="1" ht="20.25" customHeight="1">
      <c r="A235" s="58" t="s">
        <v>159</v>
      </c>
      <c r="B235" s="39" t="s">
        <v>64</v>
      </c>
      <c r="C235" s="39" t="s">
        <v>583</v>
      </c>
      <c r="D235" s="39"/>
      <c r="E235" s="40">
        <f>E236</f>
        <v>0</v>
      </c>
      <c r="F235" s="40"/>
    </row>
    <row r="236" spans="1:6" s="1" customFormat="1" ht="60.75" customHeight="1">
      <c r="A236" s="42" t="s">
        <v>331</v>
      </c>
      <c r="B236" s="39" t="s">
        <v>64</v>
      </c>
      <c r="C236" s="39" t="s">
        <v>583</v>
      </c>
      <c r="D236" s="39" t="s">
        <v>179</v>
      </c>
      <c r="E236" s="40">
        <f>E237</f>
        <v>0</v>
      </c>
      <c r="F236" s="40"/>
    </row>
    <row r="237" spans="1:6" s="1" customFormat="1" ht="19.5" customHeight="1">
      <c r="A237" s="42" t="s">
        <v>172</v>
      </c>
      <c r="B237" s="39" t="s">
        <v>64</v>
      </c>
      <c r="C237" s="39" t="s">
        <v>583</v>
      </c>
      <c r="D237" s="39" t="s">
        <v>171</v>
      </c>
      <c r="E237" s="40"/>
      <c r="F237" s="40"/>
    </row>
    <row r="238" spans="1:6" s="1" customFormat="1" ht="32.25" customHeight="1">
      <c r="A238" s="58" t="s">
        <v>68</v>
      </c>
      <c r="B238" s="39" t="s">
        <v>64</v>
      </c>
      <c r="C238" s="39" t="s">
        <v>583</v>
      </c>
      <c r="D238" s="39"/>
      <c r="E238" s="40">
        <f>E239</f>
        <v>0</v>
      </c>
      <c r="F238" s="40"/>
    </row>
    <row r="239" spans="1:6" s="1" customFormat="1" ht="20.25" customHeight="1">
      <c r="A239" s="58" t="s">
        <v>174</v>
      </c>
      <c r="B239" s="39" t="s">
        <v>64</v>
      </c>
      <c r="C239" s="39" t="s">
        <v>583</v>
      </c>
      <c r="D239" s="39" t="s">
        <v>173</v>
      </c>
      <c r="E239" s="40">
        <f>E240</f>
        <v>0</v>
      </c>
      <c r="F239" s="40"/>
    </row>
    <row r="240" spans="1:6" s="1" customFormat="1" ht="32.25" customHeight="1">
      <c r="A240" s="58" t="s">
        <v>176</v>
      </c>
      <c r="B240" s="39" t="s">
        <v>64</v>
      </c>
      <c r="C240" s="39" t="s">
        <v>583</v>
      </c>
      <c r="D240" s="39" t="s">
        <v>175</v>
      </c>
      <c r="E240" s="40"/>
      <c r="F240" s="40"/>
    </row>
    <row r="241" spans="1:6" s="1" customFormat="1" ht="16.5" customHeight="1">
      <c r="A241" s="49" t="s">
        <v>106</v>
      </c>
      <c r="B241" s="63" t="s">
        <v>145</v>
      </c>
      <c r="C241" s="63"/>
      <c r="D241" s="63"/>
      <c r="E241" s="13">
        <f>E242</f>
        <v>-1404.6</v>
      </c>
      <c r="F241" s="40"/>
    </row>
    <row r="242" spans="1:6" s="1" customFormat="1" ht="17.25" customHeight="1">
      <c r="A242" s="41" t="s">
        <v>58</v>
      </c>
      <c r="B242" s="39" t="s">
        <v>145</v>
      </c>
      <c r="C242" s="47" t="s">
        <v>35</v>
      </c>
      <c r="D242" s="39"/>
      <c r="E242" s="40">
        <f>E243</f>
        <v>-1404.6</v>
      </c>
      <c r="F242" s="40"/>
    </row>
    <row r="243" spans="1:6" s="1" customFormat="1" ht="17.25" customHeight="1">
      <c r="A243" s="46" t="s">
        <v>178</v>
      </c>
      <c r="B243" s="39" t="s">
        <v>145</v>
      </c>
      <c r="C243" s="47" t="str">
        <f>$C$242</f>
        <v>99 0 00 05000</v>
      </c>
      <c r="D243" s="39" t="s">
        <v>177</v>
      </c>
      <c r="E243" s="40">
        <f>E244</f>
        <v>-1404.6</v>
      </c>
      <c r="F243" s="40"/>
    </row>
    <row r="244" spans="1:6" s="1" customFormat="1" ht="19.5" customHeight="1">
      <c r="A244" s="41" t="s">
        <v>56</v>
      </c>
      <c r="B244" s="39" t="s">
        <v>145</v>
      </c>
      <c r="C244" s="47" t="str">
        <f>$C$242</f>
        <v>99 0 00 05000</v>
      </c>
      <c r="D244" s="39" t="s">
        <v>55</v>
      </c>
      <c r="E244" s="40">
        <f>-1404.6</f>
        <v>-1404.6</v>
      </c>
      <c r="F244" s="40"/>
    </row>
    <row r="245" spans="1:6" s="1" customFormat="1" ht="21" customHeight="1">
      <c r="A245" s="49" t="s">
        <v>134</v>
      </c>
      <c r="B245" s="63" t="s">
        <v>77</v>
      </c>
      <c r="C245" s="63"/>
      <c r="D245" s="63"/>
      <c r="E245" s="13">
        <f>E346+E253+E362+E246</f>
        <v>8707</v>
      </c>
      <c r="F245" s="13">
        <f>F346+F253+F362+F246</f>
        <v>8666</v>
      </c>
    </row>
    <row r="246" spans="1:6" s="1" customFormat="1" ht="49.5" customHeight="1">
      <c r="A246" s="52" t="s">
        <v>266</v>
      </c>
      <c r="B246" s="47" t="s">
        <v>77</v>
      </c>
      <c r="C246" s="48" t="s">
        <v>135</v>
      </c>
      <c r="D246" s="69"/>
      <c r="E246" s="50">
        <f>E247</f>
        <v>0</v>
      </c>
      <c r="F246" s="50">
        <f>F247</f>
        <v>0</v>
      </c>
    </row>
    <row r="247" spans="1:6" s="1" customFormat="1" ht="27" customHeight="1">
      <c r="A247" s="36" t="s">
        <v>399</v>
      </c>
      <c r="B247" s="47" t="s">
        <v>77</v>
      </c>
      <c r="C247" s="48" t="s">
        <v>33</v>
      </c>
      <c r="D247" s="69"/>
      <c r="E247" s="50">
        <f>E248</f>
        <v>0</v>
      </c>
      <c r="F247" s="50">
        <f>F248</f>
        <v>0</v>
      </c>
    </row>
    <row r="248" spans="1:6" s="1" customFormat="1" ht="64.5" customHeight="1">
      <c r="A248" s="36" t="s">
        <v>705</v>
      </c>
      <c r="B248" s="47" t="s">
        <v>77</v>
      </c>
      <c r="C248" s="47" t="s">
        <v>426</v>
      </c>
      <c r="D248" s="47"/>
      <c r="E248" s="50">
        <f>E249+E251</f>
        <v>0</v>
      </c>
      <c r="F248" s="50">
        <f>F249+F251</f>
        <v>0</v>
      </c>
    </row>
    <row r="249" spans="1:6" s="1" customFormat="1" ht="60" customHeight="1">
      <c r="A249" s="46" t="s">
        <v>331</v>
      </c>
      <c r="B249" s="47" t="s">
        <v>77</v>
      </c>
      <c r="C249" s="47" t="s">
        <v>426</v>
      </c>
      <c r="D249" s="47" t="s">
        <v>179</v>
      </c>
      <c r="E249" s="50">
        <f>E250</f>
        <v>0</v>
      </c>
      <c r="F249" s="50">
        <f>F250</f>
        <v>0</v>
      </c>
    </row>
    <row r="250" spans="1:6" s="1" customFormat="1" ht="21" customHeight="1">
      <c r="A250" s="46" t="s">
        <v>172</v>
      </c>
      <c r="B250" s="47" t="s">
        <v>77</v>
      </c>
      <c r="C250" s="47" t="s">
        <v>426</v>
      </c>
      <c r="D250" s="47" t="s">
        <v>171</v>
      </c>
      <c r="E250" s="50"/>
      <c r="F250" s="50">
        <f>E250</f>
        <v>0</v>
      </c>
    </row>
    <row r="251" spans="1:6" s="1" customFormat="1" ht="21" customHeight="1">
      <c r="A251" s="46" t="s">
        <v>174</v>
      </c>
      <c r="B251" s="47" t="s">
        <v>77</v>
      </c>
      <c r="C251" s="47" t="s">
        <v>426</v>
      </c>
      <c r="D251" s="47" t="s">
        <v>173</v>
      </c>
      <c r="E251" s="50">
        <f>E252</f>
        <v>0</v>
      </c>
      <c r="F251" s="50">
        <f>F252</f>
        <v>0</v>
      </c>
    </row>
    <row r="252" spans="1:6" s="1" customFormat="1" ht="35.25" customHeight="1">
      <c r="A252" s="46" t="s">
        <v>176</v>
      </c>
      <c r="B252" s="47" t="s">
        <v>77</v>
      </c>
      <c r="C252" s="47" t="s">
        <v>426</v>
      </c>
      <c r="D252" s="47" t="s">
        <v>175</v>
      </c>
      <c r="E252" s="50"/>
      <c r="F252" s="50">
        <f>E252</f>
        <v>0</v>
      </c>
    </row>
    <row r="253" spans="1:6" s="1" customFormat="1" ht="22.5" customHeight="1">
      <c r="A253" s="36" t="s">
        <v>245</v>
      </c>
      <c r="B253" s="39" t="s">
        <v>77</v>
      </c>
      <c r="C253" s="38" t="s">
        <v>20</v>
      </c>
      <c r="D253" s="39"/>
      <c r="E253" s="40">
        <f>E266+E254</f>
        <v>41</v>
      </c>
      <c r="F253" s="40">
        <f>F266+F254</f>
        <v>0</v>
      </c>
    </row>
    <row r="254" spans="1:6" s="1" customFormat="1" ht="50.25" customHeight="1">
      <c r="A254" s="36" t="s">
        <v>312</v>
      </c>
      <c r="B254" s="39" t="s">
        <v>77</v>
      </c>
      <c r="C254" s="47" t="s">
        <v>203</v>
      </c>
      <c r="D254" s="47"/>
      <c r="E254" s="50">
        <f>E255+E258</f>
        <v>0</v>
      </c>
      <c r="F254" s="50">
        <f>F255</f>
        <v>0</v>
      </c>
    </row>
    <row r="255" spans="1:6" s="1" customFormat="1" ht="95.25" customHeight="1">
      <c r="A255" s="36" t="s">
        <v>280</v>
      </c>
      <c r="B255" s="39" t="s">
        <v>77</v>
      </c>
      <c r="C255" s="47" t="s">
        <v>427</v>
      </c>
      <c r="D255" s="47"/>
      <c r="E255" s="50">
        <f>E256</f>
        <v>0</v>
      </c>
      <c r="F255" s="50">
        <f>F256</f>
        <v>0</v>
      </c>
    </row>
    <row r="256" spans="1:6" s="1" customFormat="1" ht="65.25" customHeight="1">
      <c r="A256" s="46" t="s">
        <v>331</v>
      </c>
      <c r="B256" s="39" t="s">
        <v>77</v>
      </c>
      <c r="C256" s="47" t="s">
        <v>427</v>
      </c>
      <c r="D256" s="47" t="s">
        <v>179</v>
      </c>
      <c r="E256" s="50">
        <f>E257</f>
        <v>0</v>
      </c>
      <c r="F256" s="50">
        <f>F257</f>
        <v>0</v>
      </c>
    </row>
    <row r="257" spans="1:6" s="1" customFormat="1" ht="22.5" customHeight="1">
      <c r="A257" s="46" t="s">
        <v>172</v>
      </c>
      <c r="B257" s="39" t="s">
        <v>77</v>
      </c>
      <c r="C257" s="47" t="s">
        <v>427</v>
      </c>
      <c r="D257" s="47" t="s">
        <v>171</v>
      </c>
      <c r="E257" s="50"/>
      <c r="F257" s="50">
        <f>E257</f>
        <v>0</v>
      </c>
    </row>
    <row r="258" spans="1:6" s="1" customFormat="1" ht="47.25" customHeight="1">
      <c r="A258" s="36" t="s">
        <v>312</v>
      </c>
      <c r="B258" s="47" t="s">
        <v>77</v>
      </c>
      <c r="C258" s="47" t="s">
        <v>203</v>
      </c>
      <c r="D258" s="47"/>
      <c r="E258" s="50">
        <f>E259</f>
        <v>0</v>
      </c>
      <c r="F258" s="50">
        <f>F259</f>
        <v>0</v>
      </c>
    </row>
    <row r="259" spans="1:6" s="1" customFormat="1" ht="22.5" customHeight="1">
      <c r="A259" s="60" t="s">
        <v>116</v>
      </c>
      <c r="B259" s="47" t="s">
        <v>77</v>
      </c>
      <c r="C259" s="47" t="s">
        <v>215</v>
      </c>
      <c r="D259" s="47"/>
      <c r="E259" s="50">
        <f>E260+E263</f>
        <v>0</v>
      </c>
      <c r="F259" s="50">
        <f>F261+F263</f>
        <v>0</v>
      </c>
    </row>
    <row r="260" spans="1:6" s="1" customFormat="1" ht="18.75" customHeight="1">
      <c r="A260" s="46" t="s">
        <v>158</v>
      </c>
      <c r="B260" s="47" t="s">
        <v>77</v>
      </c>
      <c r="C260" s="47" t="s">
        <v>257</v>
      </c>
      <c r="D260" s="47"/>
      <c r="E260" s="50">
        <f>E261</f>
        <v>0</v>
      </c>
      <c r="F260" s="50"/>
    </row>
    <row r="261" spans="1:6" s="1" customFormat="1" ht="63.75" customHeight="1">
      <c r="A261" s="46" t="s">
        <v>331</v>
      </c>
      <c r="B261" s="47" t="s">
        <v>77</v>
      </c>
      <c r="C261" s="47" t="s">
        <v>257</v>
      </c>
      <c r="D261" s="47" t="s">
        <v>179</v>
      </c>
      <c r="E261" s="50">
        <f>E262</f>
        <v>0</v>
      </c>
      <c r="F261" s="50"/>
    </row>
    <row r="262" spans="1:6" s="1" customFormat="1" ht="21.75" customHeight="1">
      <c r="A262" s="46" t="s">
        <v>172</v>
      </c>
      <c r="B262" s="47" t="s">
        <v>77</v>
      </c>
      <c r="C262" s="47" t="s">
        <v>257</v>
      </c>
      <c r="D262" s="47" t="s">
        <v>171</v>
      </c>
      <c r="E262" s="50"/>
      <c r="F262" s="50"/>
    </row>
    <row r="263" spans="1:6" s="1" customFormat="1" ht="30" customHeight="1">
      <c r="A263" s="46" t="s">
        <v>68</v>
      </c>
      <c r="B263" s="47" t="s">
        <v>77</v>
      </c>
      <c r="C263" s="47" t="s">
        <v>216</v>
      </c>
      <c r="D263" s="47"/>
      <c r="E263" s="50">
        <f>E264</f>
        <v>0</v>
      </c>
      <c r="F263" s="50"/>
    </row>
    <row r="264" spans="1:6" s="1" customFormat="1" ht="22.5" customHeight="1">
      <c r="A264" s="46" t="s">
        <v>174</v>
      </c>
      <c r="B264" s="47" t="s">
        <v>77</v>
      </c>
      <c r="C264" s="47" t="s">
        <v>216</v>
      </c>
      <c r="D264" s="47" t="s">
        <v>173</v>
      </c>
      <c r="E264" s="50">
        <f>E265</f>
        <v>0</v>
      </c>
      <c r="F264" s="50"/>
    </row>
    <row r="265" spans="1:6" s="1" customFormat="1" ht="30" customHeight="1">
      <c r="A265" s="46" t="s">
        <v>176</v>
      </c>
      <c r="B265" s="47" t="s">
        <v>77</v>
      </c>
      <c r="C265" s="47" t="s">
        <v>216</v>
      </c>
      <c r="D265" s="47" t="s">
        <v>175</v>
      </c>
      <c r="E265" s="50"/>
      <c r="F265" s="50"/>
    </row>
    <row r="266" spans="1:6" s="1" customFormat="1" ht="21" customHeight="1">
      <c r="A266" s="41" t="s">
        <v>41</v>
      </c>
      <c r="B266" s="39" t="s">
        <v>77</v>
      </c>
      <c r="C266" s="39" t="s">
        <v>21</v>
      </c>
      <c r="D266" s="39"/>
      <c r="E266" s="40">
        <f>E285+E282+E267+E270+E276+E273+E279</f>
        <v>41</v>
      </c>
      <c r="F266" s="40">
        <f>F285+F282+F267+F270+F276+F273+F279</f>
        <v>0</v>
      </c>
    </row>
    <row r="267" spans="1:6" s="1" customFormat="1" ht="78.75" customHeight="1">
      <c r="A267" s="58" t="s">
        <v>287</v>
      </c>
      <c r="B267" s="39" t="s">
        <v>77</v>
      </c>
      <c r="C267" s="47" t="s">
        <v>534</v>
      </c>
      <c r="D267" s="47"/>
      <c r="E267" s="50">
        <f>E268</f>
        <v>0</v>
      </c>
      <c r="F267" s="50">
        <f>F269</f>
        <v>0</v>
      </c>
    </row>
    <row r="268" spans="1:6" s="1" customFormat="1" ht="21" customHeight="1">
      <c r="A268" s="46" t="s">
        <v>178</v>
      </c>
      <c r="B268" s="39" t="s">
        <v>77</v>
      </c>
      <c r="C268" s="47" t="s">
        <v>534</v>
      </c>
      <c r="D268" s="47" t="s">
        <v>177</v>
      </c>
      <c r="E268" s="50">
        <f>E269</f>
        <v>0</v>
      </c>
      <c r="F268" s="50"/>
    </row>
    <row r="269" spans="1:6" s="1" customFormat="1" ht="21" customHeight="1">
      <c r="A269" s="46" t="s">
        <v>344</v>
      </c>
      <c r="B269" s="39" t="s">
        <v>77</v>
      </c>
      <c r="C269" s="47" t="s">
        <v>534</v>
      </c>
      <c r="D269" s="47" t="s">
        <v>343</v>
      </c>
      <c r="E269" s="50"/>
      <c r="F269" s="50">
        <v>0</v>
      </c>
    </row>
    <row r="270" spans="1:6" s="1" customFormat="1" ht="86.25" customHeight="1">
      <c r="A270" s="58" t="s">
        <v>634</v>
      </c>
      <c r="B270" s="39" t="s">
        <v>77</v>
      </c>
      <c r="C270" s="47" t="s">
        <v>635</v>
      </c>
      <c r="D270" s="47"/>
      <c r="E270" s="50">
        <f>E271</f>
        <v>41</v>
      </c>
      <c r="F270" s="50">
        <f>F272</f>
        <v>0</v>
      </c>
    </row>
    <row r="271" spans="1:6" s="1" customFormat="1" ht="21" customHeight="1">
      <c r="A271" s="46" t="s">
        <v>178</v>
      </c>
      <c r="B271" s="39" t="s">
        <v>77</v>
      </c>
      <c r="C271" s="47" t="s">
        <v>635</v>
      </c>
      <c r="D271" s="47" t="s">
        <v>177</v>
      </c>
      <c r="E271" s="50">
        <f>E272</f>
        <v>41</v>
      </c>
      <c r="F271" s="50"/>
    </row>
    <row r="272" spans="1:6" s="1" customFormat="1" ht="21" customHeight="1">
      <c r="A272" s="46" t="s">
        <v>344</v>
      </c>
      <c r="B272" s="39" t="s">
        <v>77</v>
      </c>
      <c r="C272" s="47" t="s">
        <v>635</v>
      </c>
      <c r="D272" s="47" t="s">
        <v>343</v>
      </c>
      <c r="E272" s="50">
        <f>41</f>
        <v>41</v>
      </c>
      <c r="F272" s="50">
        <v>0</v>
      </c>
    </row>
    <row r="273" spans="1:6" s="1" customFormat="1" ht="91.5" customHeight="1">
      <c r="A273" s="58" t="s">
        <v>697</v>
      </c>
      <c r="B273" s="47" t="s">
        <v>77</v>
      </c>
      <c r="C273" s="47" t="s">
        <v>698</v>
      </c>
      <c r="D273" s="47"/>
      <c r="E273" s="50">
        <f>E274</f>
        <v>0</v>
      </c>
      <c r="F273" s="50">
        <f>F275</f>
        <v>0</v>
      </c>
    </row>
    <row r="274" spans="1:6" s="1" customFormat="1" ht="21" customHeight="1">
      <c r="A274" s="46" t="s">
        <v>178</v>
      </c>
      <c r="B274" s="47" t="s">
        <v>77</v>
      </c>
      <c r="C274" s="47" t="s">
        <v>698</v>
      </c>
      <c r="D274" s="47" t="s">
        <v>177</v>
      </c>
      <c r="E274" s="50">
        <f>E275</f>
        <v>0</v>
      </c>
      <c r="F274" s="50"/>
    </row>
    <row r="275" spans="1:6" s="1" customFormat="1" ht="21" customHeight="1">
      <c r="A275" s="46" t="s">
        <v>344</v>
      </c>
      <c r="B275" s="47" t="s">
        <v>77</v>
      </c>
      <c r="C275" s="47" t="s">
        <v>698</v>
      </c>
      <c r="D275" s="47" t="s">
        <v>343</v>
      </c>
      <c r="E275" s="50"/>
      <c r="F275" s="50">
        <v>0</v>
      </c>
    </row>
    <row r="276" spans="1:6" s="1" customFormat="1" ht="32.25" customHeight="1">
      <c r="A276" s="46" t="s">
        <v>68</v>
      </c>
      <c r="B276" s="39" t="s">
        <v>77</v>
      </c>
      <c r="C276" s="39" t="s">
        <v>32</v>
      </c>
      <c r="D276" s="39"/>
      <c r="E276" s="50">
        <f>E277</f>
        <v>0</v>
      </c>
      <c r="F276" s="50"/>
    </row>
    <row r="277" spans="1:6" s="1" customFormat="1" ht="21" customHeight="1">
      <c r="A277" s="46" t="s">
        <v>178</v>
      </c>
      <c r="B277" s="39" t="s">
        <v>77</v>
      </c>
      <c r="C277" s="39" t="s">
        <v>32</v>
      </c>
      <c r="D277" s="39" t="s">
        <v>177</v>
      </c>
      <c r="E277" s="40">
        <f>E278</f>
        <v>0</v>
      </c>
      <c r="F277" s="50"/>
    </row>
    <row r="278" spans="1:6" s="1" customFormat="1" ht="21" customHeight="1">
      <c r="A278" s="46" t="s">
        <v>335</v>
      </c>
      <c r="B278" s="39" t="s">
        <v>77</v>
      </c>
      <c r="C278" s="39" t="s">
        <v>32</v>
      </c>
      <c r="D278" s="39" t="s">
        <v>334</v>
      </c>
      <c r="E278" s="40"/>
      <c r="F278" s="50"/>
    </row>
    <row r="279" spans="1:6" s="1" customFormat="1" ht="63" customHeight="1">
      <c r="A279" s="46" t="s">
        <v>727</v>
      </c>
      <c r="B279" s="47" t="s">
        <v>77</v>
      </c>
      <c r="C279" s="47" t="s">
        <v>728</v>
      </c>
      <c r="D279" s="47"/>
      <c r="E279" s="40">
        <f>E280</f>
        <v>0</v>
      </c>
      <c r="F279" s="40">
        <f>F280</f>
        <v>0</v>
      </c>
    </row>
    <row r="280" spans="1:6" s="1" customFormat="1" ht="21" customHeight="1">
      <c r="A280" s="46" t="s">
        <v>174</v>
      </c>
      <c r="B280" s="47" t="s">
        <v>77</v>
      </c>
      <c r="C280" s="47" t="s">
        <v>728</v>
      </c>
      <c r="D280" s="47" t="s">
        <v>173</v>
      </c>
      <c r="E280" s="40">
        <f>E281</f>
        <v>0</v>
      </c>
      <c r="F280" s="40">
        <f>F281</f>
        <v>0</v>
      </c>
    </row>
    <row r="281" spans="1:6" s="1" customFormat="1" ht="32.25" customHeight="1">
      <c r="A281" s="46" t="s">
        <v>176</v>
      </c>
      <c r="B281" s="47" t="s">
        <v>77</v>
      </c>
      <c r="C281" s="47" t="s">
        <v>728</v>
      </c>
      <c r="D281" s="47" t="s">
        <v>175</v>
      </c>
      <c r="E281" s="40"/>
      <c r="F281" s="40">
        <f>E281</f>
        <v>0</v>
      </c>
    </row>
    <row r="282" spans="1:6" s="1" customFormat="1" ht="45" customHeight="1">
      <c r="A282" s="46" t="s">
        <v>326</v>
      </c>
      <c r="B282" s="39" t="s">
        <v>77</v>
      </c>
      <c r="C282" s="47" t="s">
        <v>429</v>
      </c>
      <c r="D282" s="39"/>
      <c r="E282" s="40">
        <f>E283</f>
        <v>0</v>
      </c>
      <c r="F282" s="40">
        <f>F283+F285</f>
        <v>0</v>
      </c>
    </row>
    <row r="283" spans="1:6" s="1" customFormat="1" ht="64.5" customHeight="1">
      <c r="A283" s="43" t="s">
        <v>331</v>
      </c>
      <c r="B283" s="39" t="s">
        <v>77</v>
      </c>
      <c r="C283" s="47" t="s">
        <v>429</v>
      </c>
      <c r="D283" s="39" t="s">
        <v>179</v>
      </c>
      <c r="E283" s="40">
        <f>E284</f>
        <v>0</v>
      </c>
      <c r="F283" s="40">
        <f>F284</f>
        <v>0</v>
      </c>
    </row>
    <row r="284" spans="1:6" s="1" customFormat="1" ht="24.75" customHeight="1">
      <c r="A284" s="42" t="s">
        <v>172</v>
      </c>
      <c r="B284" s="39" t="s">
        <v>77</v>
      </c>
      <c r="C284" s="47" t="s">
        <v>429</v>
      </c>
      <c r="D284" s="39" t="s">
        <v>171</v>
      </c>
      <c r="E284" s="40"/>
      <c r="F284" s="40">
        <f>E284</f>
        <v>0</v>
      </c>
    </row>
    <row r="285" spans="1:6" s="1" customFormat="1" ht="29.25" customHeight="1">
      <c r="A285" s="41" t="s">
        <v>340</v>
      </c>
      <c r="B285" s="39" t="s">
        <v>77</v>
      </c>
      <c r="C285" s="39" t="s">
        <v>421</v>
      </c>
      <c r="D285" s="39"/>
      <c r="E285" s="40">
        <f>E286+E293+E300</f>
        <v>0</v>
      </c>
      <c r="F285" s="40"/>
    </row>
    <row r="286" spans="1:6" s="1" customFormat="1" ht="30.75" customHeight="1">
      <c r="A286" s="106" t="s">
        <v>262</v>
      </c>
      <c r="B286" s="39" t="s">
        <v>77</v>
      </c>
      <c r="C286" s="39" t="s">
        <v>414</v>
      </c>
      <c r="D286" s="121"/>
      <c r="E286" s="40">
        <f>E287+E289+E291</f>
        <v>0</v>
      </c>
      <c r="F286" s="40"/>
    </row>
    <row r="287" spans="1:6" s="1" customFormat="1" ht="60.75" customHeight="1">
      <c r="A287" s="43" t="s">
        <v>331</v>
      </c>
      <c r="B287" s="39" t="s">
        <v>77</v>
      </c>
      <c r="C287" s="39" t="s">
        <v>414</v>
      </c>
      <c r="D287" s="39" t="s">
        <v>179</v>
      </c>
      <c r="E287" s="40">
        <f>E288</f>
        <v>0</v>
      </c>
      <c r="F287" s="40"/>
    </row>
    <row r="288" spans="1:6" s="1" customFormat="1" ht="21.75" customHeight="1">
      <c r="A288" s="43" t="s">
        <v>333</v>
      </c>
      <c r="B288" s="39" t="s">
        <v>77</v>
      </c>
      <c r="C288" s="39" t="s">
        <v>414</v>
      </c>
      <c r="D288" s="37" t="s">
        <v>332</v>
      </c>
      <c r="E288" s="44"/>
      <c r="F288" s="44"/>
    </row>
    <row r="289" spans="1:6" s="1" customFormat="1" ht="22.5" customHeight="1">
      <c r="A289" s="46" t="s">
        <v>174</v>
      </c>
      <c r="B289" s="39" t="s">
        <v>77</v>
      </c>
      <c r="C289" s="39" t="s">
        <v>414</v>
      </c>
      <c r="D289" s="39" t="s">
        <v>173</v>
      </c>
      <c r="E289" s="44">
        <f>E290</f>
        <v>0</v>
      </c>
      <c r="F289" s="44"/>
    </row>
    <row r="290" spans="1:6" s="1" customFormat="1" ht="31.5" customHeight="1">
      <c r="A290" s="46" t="s">
        <v>176</v>
      </c>
      <c r="B290" s="39" t="s">
        <v>77</v>
      </c>
      <c r="C290" s="39" t="s">
        <v>414</v>
      </c>
      <c r="D290" s="37" t="s">
        <v>175</v>
      </c>
      <c r="E290" s="44"/>
      <c r="F290" s="44"/>
    </row>
    <row r="291" spans="1:6" s="1" customFormat="1" ht="20.25" customHeight="1">
      <c r="A291" s="46" t="s">
        <v>178</v>
      </c>
      <c r="B291" s="39" t="s">
        <v>77</v>
      </c>
      <c r="C291" s="39" t="s">
        <v>414</v>
      </c>
      <c r="D291" s="39" t="s">
        <v>177</v>
      </c>
      <c r="E291" s="44">
        <f>E292</f>
        <v>0</v>
      </c>
      <c r="F291" s="44"/>
    </row>
    <row r="292" spans="1:6" s="1" customFormat="1" ht="20.25" customHeight="1">
      <c r="A292" s="46" t="s">
        <v>335</v>
      </c>
      <c r="B292" s="39" t="s">
        <v>77</v>
      </c>
      <c r="C292" s="39" t="s">
        <v>414</v>
      </c>
      <c r="D292" s="39" t="s">
        <v>334</v>
      </c>
      <c r="E292" s="44"/>
      <c r="F292" s="44"/>
    </row>
    <row r="293" spans="1:6" s="1" customFormat="1" ht="33" customHeight="1">
      <c r="A293" s="60" t="s">
        <v>263</v>
      </c>
      <c r="B293" s="39" t="s">
        <v>77</v>
      </c>
      <c r="C293" s="39" t="s">
        <v>198</v>
      </c>
      <c r="D293" s="47"/>
      <c r="E293" s="50">
        <f>E294+E296+E298</f>
        <v>0</v>
      </c>
      <c r="F293" s="44"/>
    </row>
    <row r="294" spans="1:6" s="1" customFormat="1" ht="60" customHeight="1">
      <c r="A294" s="46" t="s">
        <v>331</v>
      </c>
      <c r="B294" s="39" t="s">
        <v>77</v>
      </c>
      <c r="C294" s="39" t="s">
        <v>198</v>
      </c>
      <c r="D294" s="48" t="s">
        <v>179</v>
      </c>
      <c r="E294" s="53">
        <f>E295</f>
        <v>0</v>
      </c>
      <c r="F294" s="44"/>
    </row>
    <row r="295" spans="1:6" s="1" customFormat="1" ht="20.25" customHeight="1">
      <c r="A295" s="58" t="s">
        <v>333</v>
      </c>
      <c r="B295" s="39" t="s">
        <v>77</v>
      </c>
      <c r="C295" s="39" t="s">
        <v>198</v>
      </c>
      <c r="D295" s="47" t="s">
        <v>332</v>
      </c>
      <c r="E295" s="50"/>
      <c r="F295" s="44"/>
    </row>
    <row r="296" spans="1:6" s="1" customFormat="1" ht="20.25" customHeight="1">
      <c r="A296" s="46" t="s">
        <v>174</v>
      </c>
      <c r="B296" s="39" t="s">
        <v>77</v>
      </c>
      <c r="C296" s="39" t="s">
        <v>198</v>
      </c>
      <c r="D296" s="48" t="s">
        <v>173</v>
      </c>
      <c r="E296" s="53">
        <f>E297</f>
        <v>0</v>
      </c>
      <c r="F296" s="44"/>
    </row>
    <row r="297" spans="1:6" s="1" customFormat="1" ht="33" customHeight="1">
      <c r="A297" s="58" t="s">
        <v>176</v>
      </c>
      <c r="B297" s="39" t="s">
        <v>77</v>
      </c>
      <c r="C297" s="39" t="s">
        <v>198</v>
      </c>
      <c r="D297" s="47" t="s">
        <v>175</v>
      </c>
      <c r="E297" s="50"/>
      <c r="F297" s="44"/>
    </row>
    <row r="298" spans="1:6" s="1" customFormat="1" ht="20.25" customHeight="1">
      <c r="A298" s="46" t="s">
        <v>178</v>
      </c>
      <c r="B298" s="39" t="s">
        <v>77</v>
      </c>
      <c r="C298" s="39" t="s">
        <v>198</v>
      </c>
      <c r="D298" s="48" t="s">
        <v>177</v>
      </c>
      <c r="E298" s="53">
        <f>E299</f>
        <v>0</v>
      </c>
      <c r="F298" s="44"/>
    </row>
    <row r="299" spans="1:6" s="1" customFormat="1" ht="20.25" customHeight="1">
      <c r="A299" s="58" t="s">
        <v>335</v>
      </c>
      <c r="B299" s="39" t="s">
        <v>77</v>
      </c>
      <c r="C299" s="39" t="s">
        <v>198</v>
      </c>
      <c r="D299" s="48" t="s">
        <v>334</v>
      </c>
      <c r="E299" s="53"/>
      <c r="F299" s="44"/>
    </row>
    <row r="300" spans="1:6" s="1" customFormat="1" ht="46.5" customHeight="1">
      <c r="A300" s="60" t="s">
        <v>557</v>
      </c>
      <c r="B300" s="39" t="s">
        <v>77</v>
      </c>
      <c r="C300" s="39" t="s">
        <v>558</v>
      </c>
      <c r="D300" s="47"/>
      <c r="E300" s="50">
        <f>E301</f>
        <v>0</v>
      </c>
      <c r="F300" s="44"/>
    </row>
    <row r="301" spans="1:6" s="1" customFormat="1" ht="44.25" customHeight="1">
      <c r="A301" s="58" t="s">
        <v>608</v>
      </c>
      <c r="B301" s="39" t="s">
        <v>77</v>
      </c>
      <c r="C301" s="39" t="s">
        <v>558</v>
      </c>
      <c r="D301" s="47"/>
      <c r="E301" s="50">
        <f>E302+E304</f>
        <v>0</v>
      </c>
      <c r="F301" s="44"/>
    </row>
    <row r="302" spans="1:6" s="1" customFormat="1" ht="61.5" customHeight="1">
      <c r="A302" s="58" t="s">
        <v>331</v>
      </c>
      <c r="B302" s="39" t="s">
        <v>77</v>
      </c>
      <c r="C302" s="39" t="s">
        <v>558</v>
      </c>
      <c r="D302" s="47" t="s">
        <v>179</v>
      </c>
      <c r="E302" s="50">
        <f>E303</f>
        <v>0</v>
      </c>
      <c r="F302" s="44"/>
    </row>
    <row r="303" spans="1:6" s="1" customFormat="1" ht="24.75" customHeight="1">
      <c r="A303" s="58" t="s">
        <v>333</v>
      </c>
      <c r="B303" s="39" t="s">
        <v>77</v>
      </c>
      <c r="C303" s="39" t="s">
        <v>558</v>
      </c>
      <c r="D303" s="47" t="s">
        <v>332</v>
      </c>
      <c r="E303" s="50"/>
      <c r="F303" s="44"/>
    </row>
    <row r="304" spans="1:6" s="1" customFormat="1" ht="20.25" customHeight="1">
      <c r="A304" s="58" t="s">
        <v>174</v>
      </c>
      <c r="B304" s="39" t="s">
        <v>77</v>
      </c>
      <c r="C304" s="39" t="s">
        <v>558</v>
      </c>
      <c r="D304" s="47" t="s">
        <v>173</v>
      </c>
      <c r="E304" s="50">
        <f>E305</f>
        <v>0</v>
      </c>
      <c r="F304" s="44"/>
    </row>
    <row r="305" spans="1:6" s="1" customFormat="1" ht="36" customHeight="1">
      <c r="A305" s="58" t="s">
        <v>176</v>
      </c>
      <c r="B305" s="39" t="s">
        <v>77</v>
      </c>
      <c r="C305" s="39" t="s">
        <v>558</v>
      </c>
      <c r="D305" s="47" t="s">
        <v>175</v>
      </c>
      <c r="E305" s="50"/>
      <c r="F305" s="44"/>
    </row>
    <row r="306" spans="1:6" s="1" customFormat="1" ht="58.5" customHeight="1">
      <c r="A306" s="58" t="s">
        <v>604</v>
      </c>
      <c r="B306" s="39" t="s">
        <v>77</v>
      </c>
      <c r="C306" s="39" t="s">
        <v>605</v>
      </c>
      <c r="D306" s="47"/>
      <c r="E306" s="50">
        <f>E307+E309</f>
        <v>0</v>
      </c>
      <c r="F306" s="44"/>
    </row>
    <row r="307" spans="1:6" s="1" customFormat="1" ht="45" customHeight="1">
      <c r="A307" s="58" t="s">
        <v>331</v>
      </c>
      <c r="B307" s="39" t="s">
        <v>77</v>
      </c>
      <c r="C307" s="39" t="s">
        <v>605</v>
      </c>
      <c r="D307" s="47" t="s">
        <v>179</v>
      </c>
      <c r="E307" s="50">
        <f>E308</f>
        <v>0</v>
      </c>
      <c r="F307" s="44"/>
    </row>
    <row r="308" spans="1:6" s="1" customFormat="1" ht="21.75" customHeight="1">
      <c r="A308" s="58" t="s">
        <v>333</v>
      </c>
      <c r="B308" s="39" t="s">
        <v>77</v>
      </c>
      <c r="C308" s="39" t="s">
        <v>605</v>
      </c>
      <c r="D308" s="47" t="s">
        <v>332</v>
      </c>
      <c r="E308" s="50"/>
      <c r="F308" s="44"/>
    </row>
    <row r="309" spans="1:6" s="1" customFormat="1" ht="21" customHeight="1">
      <c r="A309" s="58" t="s">
        <v>174</v>
      </c>
      <c r="B309" s="39" t="s">
        <v>77</v>
      </c>
      <c r="C309" s="39" t="s">
        <v>605</v>
      </c>
      <c r="D309" s="47" t="s">
        <v>173</v>
      </c>
      <c r="E309" s="50">
        <f>E310</f>
        <v>0</v>
      </c>
      <c r="F309" s="44"/>
    </row>
    <row r="310" spans="1:6" s="1" customFormat="1" ht="32.25" customHeight="1">
      <c r="A310" s="58" t="s">
        <v>176</v>
      </c>
      <c r="B310" s="39" t="s">
        <v>77</v>
      </c>
      <c r="C310" s="39" t="s">
        <v>605</v>
      </c>
      <c r="D310" s="47" t="s">
        <v>175</v>
      </c>
      <c r="E310" s="50"/>
      <c r="F310" s="44"/>
    </row>
    <row r="311" spans="1:6" s="1" customFormat="1" ht="60.75" customHeight="1">
      <c r="A311" s="58" t="s">
        <v>559</v>
      </c>
      <c r="B311" s="39" t="s">
        <v>77</v>
      </c>
      <c r="C311" s="39" t="s">
        <v>560</v>
      </c>
      <c r="D311" s="47"/>
      <c r="E311" s="50">
        <f>E312+E314</f>
        <v>0</v>
      </c>
      <c r="F311" s="44"/>
    </row>
    <row r="312" spans="1:6" s="1" customFormat="1" ht="60.75" customHeight="1">
      <c r="A312" s="58" t="s">
        <v>331</v>
      </c>
      <c r="B312" s="39" t="s">
        <v>77</v>
      </c>
      <c r="C312" s="39" t="s">
        <v>560</v>
      </c>
      <c r="D312" s="47" t="s">
        <v>179</v>
      </c>
      <c r="E312" s="50">
        <f>E313</f>
        <v>0</v>
      </c>
      <c r="F312" s="44"/>
    </row>
    <row r="313" spans="1:6" s="1" customFormat="1" ht="24" customHeight="1">
      <c r="A313" s="58" t="s">
        <v>333</v>
      </c>
      <c r="B313" s="39" t="s">
        <v>77</v>
      </c>
      <c r="C313" s="39" t="s">
        <v>560</v>
      </c>
      <c r="D313" s="47" t="s">
        <v>332</v>
      </c>
      <c r="E313" s="50"/>
      <c r="F313" s="44"/>
    </row>
    <row r="314" spans="1:6" s="1" customFormat="1" ht="20.25" customHeight="1">
      <c r="A314" s="58" t="s">
        <v>174</v>
      </c>
      <c r="B314" s="39" t="s">
        <v>77</v>
      </c>
      <c r="C314" s="39" t="s">
        <v>560</v>
      </c>
      <c r="D314" s="47" t="s">
        <v>173</v>
      </c>
      <c r="E314" s="50">
        <f>E315</f>
        <v>0</v>
      </c>
      <c r="F314" s="44"/>
    </row>
    <row r="315" spans="1:6" s="1" customFormat="1" ht="36" customHeight="1">
      <c r="A315" s="58" t="s">
        <v>176</v>
      </c>
      <c r="B315" s="39" t="s">
        <v>77</v>
      </c>
      <c r="C315" s="39" t="s">
        <v>560</v>
      </c>
      <c r="D315" s="47" t="s">
        <v>175</v>
      </c>
      <c r="E315" s="50"/>
      <c r="F315" s="44"/>
    </row>
    <row r="316" spans="1:6" s="1" customFormat="1" ht="59.25" customHeight="1">
      <c r="A316" s="58" t="s">
        <v>594</v>
      </c>
      <c r="B316" s="47" t="s">
        <v>77</v>
      </c>
      <c r="C316" s="47" t="s">
        <v>595</v>
      </c>
      <c r="D316" s="47"/>
      <c r="E316" s="50">
        <f>E317+E319</f>
        <v>0</v>
      </c>
      <c r="F316" s="44"/>
    </row>
    <row r="317" spans="1:6" s="1" customFormat="1" ht="58.5" customHeight="1">
      <c r="A317" s="58" t="s">
        <v>331</v>
      </c>
      <c r="B317" s="39" t="s">
        <v>77</v>
      </c>
      <c r="C317" s="39" t="s">
        <v>595</v>
      </c>
      <c r="D317" s="47" t="s">
        <v>179</v>
      </c>
      <c r="E317" s="50">
        <f>E318</f>
        <v>0</v>
      </c>
      <c r="F317" s="44"/>
    </row>
    <row r="318" spans="1:6" s="1" customFormat="1" ht="21" customHeight="1">
      <c r="A318" s="58" t="s">
        <v>333</v>
      </c>
      <c r="B318" s="39" t="s">
        <v>77</v>
      </c>
      <c r="C318" s="39" t="s">
        <v>595</v>
      </c>
      <c r="D318" s="47" t="s">
        <v>332</v>
      </c>
      <c r="E318" s="50"/>
      <c r="F318" s="44"/>
    </row>
    <row r="319" spans="1:6" s="1" customFormat="1" ht="22.5" customHeight="1">
      <c r="A319" s="58" t="s">
        <v>174</v>
      </c>
      <c r="B319" s="39" t="s">
        <v>77</v>
      </c>
      <c r="C319" s="39" t="s">
        <v>595</v>
      </c>
      <c r="D319" s="47" t="s">
        <v>173</v>
      </c>
      <c r="E319" s="50">
        <f>E320</f>
        <v>0</v>
      </c>
      <c r="F319" s="44"/>
    </row>
    <row r="320" spans="1:6" s="1" customFormat="1" ht="36" customHeight="1">
      <c r="A320" s="58" t="s">
        <v>176</v>
      </c>
      <c r="B320" s="39" t="s">
        <v>77</v>
      </c>
      <c r="C320" s="39" t="s">
        <v>595</v>
      </c>
      <c r="D320" s="47" t="s">
        <v>175</v>
      </c>
      <c r="E320" s="50"/>
      <c r="F320" s="44"/>
    </row>
    <row r="321" spans="1:6" s="1" customFormat="1" ht="61.5" customHeight="1">
      <c r="A321" s="58" t="s">
        <v>596</v>
      </c>
      <c r="B321" s="39" t="s">
        <v>77</v>
      </c>
      <c r="C321" s="39" t="s">
        <v>597</v>
      </c>
      <c r="D321" s="47"/>
      <c r="E321" s="50">
        <f>E322+E324</f>
        <v>0</v>
      </c>
      <c r="F321" s="44"/>
    </row>
    <row r="322" spans="1:6" s="1" customFormat="1" ht="60.75" customHeight="1">
      <c r="A322" s="58" t="s">
        <v>331</v>
      </c>
      <c r="B322" s="39" t="s">
        <v>77</v>
      </c>
      <c r="C322" s="39" t="s">
        <v>597</v>
      </c>
      <c r="D322" s="47" t="s">
        <v>179</v>
      </c>
      <c r="E322" s="50">
        <f>E323</f>
        <v>0</v>
      </c>
      <c r="F322" s="44"/>
    </row>
    <row r="323" spans="1:6" s="1" customFormat="1" ht="21" customHeight="1">
      <c r="A323" s="58" t="s">
        <v>333</v>
      </c>
      <c r="B323" s="39" t="s">
        <v>77</v>
      </c>
      <c r="C323" s="39" t="s">
        <v>597</v>
      </c>
      <c r="D323" s="47" t="s">
        <v>332</v>
      </c>
      <c r="E323" s="50"/>
      <c r="F323" s="44"/>
    </row>
    <row r="324" spans="1:6" s="1" customFormat="1" ht="21.75" customHeight="1">
      <c r="A324" s="58" t="s">
        <v>174</v>
      </c>
      <c r="B324" s="39" t="s">
        <v>77</v>
      </c>
      <c r="C324" s="39" t="s">
        <v>597</v>
      </c>
      <c r="D324" s="47" t="s">
        <v>173</v>
      </c>
      <c r="E324" s="50">
        <f>E325</f>
        <v>0</v>
      </c>
      <c r="F324" s="44"/>
    </row>
    <row r="325" spans="1:6" s="1" customFormat="1" ht="31.5" customHeight="1">
      <c r="A325" s="58" t="s">
        <v>176</v>
      </c>
      <c r="B325" s="39" t="s">
        <v>77</v>
      </c>
      <c r="C325" s="39" t="s">
        <v>597</v>
      </c>
      <c r="D325" s="47" t="s">
        <v>175</v>
      </c>
      <c r="E325" s="50"/>
      <c r="F325" s="44"/>
    </row>
    <row r="326" spans="1:6" s="1" customFormat="1" ht="57.75" customHeight="1">
      <c r="A326" s="58" t="s">
        <v>607</v>
      </c>
      <c r="B326" s="39" t="s">
        <v>77</v>
      </c>
      <c r="C326" s="39" t="s">
        <v>606</v>
      </c>
      <c r="D326" s="47"/>
      <c r="E326" s="50">
        <f>E327+E329</f>
        <v>0</v>
      </c>
      <c r="F326" s="44"/>
    </row>
    <row r="327" spans="1:6" s="1" customFormat="1" ht="58.5" customHeight="1">
      <c r="A327" s="58" t="s">
        <v>331</v>
      </c>
      <c r="B327" s="39" t="s">
        <v>77</v>
      </c>
      <c r="C327" s="39" t="s">
        <v>606</v>
      </c>
      <c r="D327" s="47" t="s">
        <v>179</v>
      </c>
      <c r="E327" s="50">
        <f>E328</f>
        <v>0</v>
      </c>
      <c r="F327" s="44"/>
    </row>
    <row r="328" spans="1:6" s="1" customFormat="1" ht="24.75" customHeight="1">
      <c r="A328" s="58" t="s">
        <v>333</v>
      </c>
      <c r="B328" s="39" t="s">
        <v>77</v>
      </c>
      <c r="C328" s="39" t="s">
        <v>606</v>
      </c>
      <c r="D328" s="47" t="s">
        <v>332</v>
      </c>
      <c r="E328" s="50"/>
      <c r="F328" s="44"/>
    </row>
    <row r="329" spans="1:6" s="1" customFormat="1" ht="21.75" customHeight="1">
      <c r="A329" s="58" t="s">
        <v>174</v>
      </c>
      <c r="B329" s="39" t="s">
        <v>77</v>
      </c>
      <c r="C329" s="39" t="s">
        <v>606</v>
      </c>
      <c r="D329" s="47" t="s">
        <v>173</v>
      </c>
      <c r="E329" s="50">
        <f>E330</f>
        <v>0</v>
      </c>
      <c r="F329" s="44"/>
    </row>
    <row r="330" spans="1:6" s="1" customFormat="1" ht="31.5" customHeight="1">
      <c r="A330" s="58" t="s">
        <v>176</v>
      </c>
      <c r="B330" s="39" t="s">
        <v>77</v>
      </c>
      <c r="C330" s="39" t="s">
        <v>606</v>
      </c>
      <c r="D330" s="47" t="s">
        <v>175</v>
      </c>
      <c r="E330" s="50"/>
      <c r="F330" s="44"/>
    </row>
    <row r="331" spans="1:6" s="1" customFormat="1" ht="60.75" customHeight="1">
      <c r="A331" s="58" t="s">
        <v>598</v>
      </c>
      <c r="B331" s="39" t="s">
        <v>77</v>
      </c>
      <c r="C331" s="39" t="s">
        <v>599</v>
      </c>
      <c r="D331" s="47"/>
      <c r="E331" s="50">
        <f>E332+E334</f>
        <v>0</v>
      </c>
      <c r="F331" s="44"/>
    </row>
    <row r="332" spans="1:6" s="1" customFormat="1" ht="59.25" customHeight="1">
      <c r="A332" s="58" t="s">
        <v>331</v>
      </c>
      <c r="B332" s="39" t="s">
        <v>77</v>
      </c>
      <c r="C332" s="39" t="s">
        <v>599</v>
      </c>
      <c r="D332" s="47" t="s">
        <v>179</v>
      </c>
      <c r="E332" s="50">
        <f>E333</f>
        <v>0</v>
      </c>
      <c r="F332" s="44"/>
    </row>
    <row r="333" spans="1:6" s="1" customFormat="1" ht="20.25" customHeight="1">
      <c r="A333" s="58" t="s">
        <v>333</v>
      </c>
      <c r="B333" s="39" t="s">
        <v>77</v>
      </c>
      <c r="C333" s="39" t="s">
        <v>599</v>
      </c>
      <c r="D333" s="47" t="s">
        <v>332</v>
      </c>
      <c r="E333" s="50"/>
      <c r="F333" s="44"/>
    </row>
    <row r="334" spans="1:6" s="1" customFormat="1" ht="27" customHeight="1">
      <c r="A334" s="58" t="s">
        <v>174</v>
      </c>
      <c r="B334" s="39" t="s">
        <v>77</v>
      </c>
      <c r="C334" s="39" t="s">
        <v>599</v>
      </c>
      <c r="D334" s="47" t="s">
        <v>173</v>
      </c>
      <c r="E334" s="50">
        <f>E335</f>
        <v>0</v>
      </c>
      <c r="F334" s="44"/>
    </row>
    <row r="335" spans="1:6" s="1" customFormat="1" ht="33.75" customHeight="1">
      <c r="A335" s="58" t="s">
        <v>176</v>
      </c>
      <c r="B335" s="39" t="s">
        <v>77</v>
      </c>
      <c r="C335" s="39" t="s">
        <v>599</v>
      </c>
      <c r="D335" s="47" t="s">
        <v>175</v>
      </c>
      <c r="E335" s="50"/>
      <c r="F335" s="44"/>
    </row>
    <row r="336" spans="1:6" s="1" customFormat="1" ht="59.25" customHeight="1">
      <c r="A336" s="58" t="s">
        <v>600</v>
      </c>
      <c r="B336" s="39" t="s">
        <v>77</v>
      </c>
      <c r="C336" s="39" t="s">
        <v>601</v>
      </c>
      <c r="D336" s="47"/>
      <c r="E336" s="50">
        <f>E337+E339</f>
        <v>0</v>
      </c>
      <c r="F336" s="44"/>
    </row>
    <row r="337" spans="1:6" s="1" customFormat="1" ht="60.75" customHeight="1">
      <c r="A337" s="58" t="s">
        <v>331</v>
      </c>
      <c r="B337" s="39" t="s">
        <v>77</v>
      </c>
      <c r="C337" s="39" t="s">
        <v>601</v>
      </c>
      <c r="D337" s="47" t="s">
        <v>179</v>
      </c>
      <c r="E337" s="50">
        <f>E338</f>
        <v>0</v>
      </c>
      <c r="F337" s="44"/>
    </row>
    <row r="338" spans="1:6" s="1" customFormat="1" ht="20.25" customHeight="1">
      <c r="A338" s="58" t="s">
        <v>333</v>
      </c>
      <c r="B338" s="39" t="s">
        <v>77</v>
      </c>
      <c r="C338" s="39" t="s">
        <v>601</v>
      </c>
      <c r="D338" s="47" t="s">
        <v>332</v>
      </c>
      <c r="E338" s="50"/>
      <c r="F338" s="44"/>
    </row>
    <row r="339" spans="1:6" s="1" customFormat="1" ht="21" customHeight="1">
      <c r="A339" s="58" t="s">
        <v>174</v>
      </c>
      <c r="B339" s="39" t="s">
        <v>77</v>
      </c>
      <c r="C339" s="39" t="s">
        <v>601</v>
      </c>
      <c r="D339" s="47" t="s">
        <v>173</v>
      </c>
      <c r="E339" s="50">
        <f>E340</f>
        <v>0</v>
      </c>
      <c r="F339" s="44"/>
    </row>
    <row r="340" spans="1:6" s="1" customFormat="1" ht="36" customHeight="1">
      <c r="A340" s="58" t="s">
        <v>176</v>
      </c>
      <c r="B340" s="39" t="s">
        <v>77</v>
      </c>
      <c r="C340" s="39" t="s">
        <v>601</v>
      </c>
      <c r="D340" s="47" t="s">
        <v>175</v>
      </c>
      <c r="E340" s="50"/>
      <c r="F340" s="44"/>
    </row>
    <row r="341" spans="1:6" s="1" customFormat="1" ht="57.75" customHeight="1">
      <c r="A341" s="58" t="s">
        <v>602</v>
      </c>
      <c r="B341" s="47" t="s">
        <v>77</v>
      </c>
      <c r="C341" s="47" t="s">
        <v>603</v>
      </c>
      <c r="D341" s="47"/>
      <c r="E341" s="50">
        <f>E342+E344</f>
        <v>0</v>
      </c>
      <c r="F341" s="44"/>
    </row>
    <row r="342" spans="1:6" s="1" customFormat="1" ht="57.75" customHeight="1">
      <c r="A342" s="58" t="s">
        <v>331</v>
      </c>
      <c r="B342" s="39" t="s">
        <v>77</v>
      </c>
      <c r="C342" s="39" t="s">
        <v>603</v>
      </c>
      <c r="D342" s="47" t="s">
        <v>179</v>
      </c>
      <c r="E342" s="50">
        <f>E343</f>
        <v>0</v>
      </c>
      <c r="F342" s="44"/>
    </row>
    <row r="343" spans="1:6" s="1" customFormat="1" ht="21" customHeight="1">
      <c r="A343" s="58" t="s">
        <v>333</v>
      </c>
      <c r="B343" s="39" t="s">
        <v>77</v>
      </c>
      <c r="C343" s="39" t="s">
        <v>603</v>
      </c>
      <c r="D343" s="47" t="s">
        <v>332</v>
      </c>
      <c r="E343" s="50"/>
      <c r="F343" s="44"/>
    </row>
    <row r="344" spans="1:6" s="1" customFormat="1" ht="19.5" customHeight="1">
      <c r="A344" s="58" t="s">
        <v>174</v>
      </c>
      <c r="B344" s="39" t="s">
        <v>77</v>
      </c>
      <c r="C344" s="39" t="s">
        <v>603</v>
      </c>
      <c r="D344" s="47" t="s">
        <v>173</v>
      </c>
      <c r="E344" s="50">
        <f>E345</f>
        <v>0</v>
      </c>
      <c r="F344" s="44"/>
    </row>
    <row r="345" spans="1:6" s="1" customFormat="1" ht="29.25" customHeight="1">
      <c r="A345" s="58" t="s">
        <v>176</v>
      </c>
      <c r="B345" s="39" t="s">
        <v>77</v>
      </c>
      <c r="C345" s="39" t="s">
        <v>603</v>
      </c>
      <c r="D345" s="47" t="s">
        <v>175</v>
      </c>
      <c r="E345" s="50"/>
      <c r="F345" s="44"/>
    </row>
    <row r="346" spans="1:6" s="1" customFormat="1" ht="91.5" customHeight="1">
      <c r="A346" s="56" t="s">
        <v>8</v>
      </c>
      <c r="B346" s="39" t="s">
        <v>77</v>
      </c>
      <c r="C346" s="39" t="s">
        <v>38</v>
      </c>
      <c r="D346" s="39"/>
      <c r="E346" s="40">
        <f>E356+E350+E353+E359+E347</f>
        <v>8666</v>
      </c>
      <c r="F346" s="40">
        <f>F356+F350</f>
        <v>8666</v>
      </c>
    </row>
    <row r="347" spans="1:6" s="1" customFormat="1" ht="45.75" customHeight="1">
      <c r="A347" s="56" t="s">
        <v>509</v>
      </c>
      <c r="B347" s="39" t="s">
        <v>77</v>
      </c>
      <c r="C347" s="39" t="s">
        <v>39</v>
      </c>
      <c r="D347" s="39"/>
      <c r="E347" s="40">
        <f>E348</f>
        <v>-398</v>
      </c>
      <c r="F347" s="40"/>
    </row>
    <row r="348" spans="1:6" s="1" customFormat="1" ht="36.75" customHeight="1">
      <c r="A348" s="36" t="s">
        <v>339</v>
      </c>
      <c r="B348" s="39" t="s">
        <v>77</v>
      </c>
      <c r="C348" s="39" t="s">
        <v>39</v>
      </c>
      <c r="D348" s="39" t="s">
        <v>338</v>
      </c>
      <c r="E348" s="40">
        <f>E349</f>
        <v>-398</v>
      </c>
      <c r="F348" s="40"/>
    </row>
    <row r="349" spans="1:6" s="1" customFormat="1" ht="18" customHeight="1">
      <c r="A349" s="43" t="s">
        <v>337</v>
      </c>
      <c r="B349" s="39" t="s">
        <v>77</v>
      </c>
      <c r="C349" s="39" t="s">
        <v>39</v>
      </c>
      <c r="D349" s="39" t="s">
        <v>336</v>
      </c>
      <c r="E349" s="40">
        <f>-383-15</f>
        <v>-398</v>
      </c>
      <c r="F349" s="40"/>
    </row>
    <row r="350" spans="1:6" s="1" customFormat="1" ht="46.5" customHeight="1">
      <c r="A350" s="43" t="s">
        <v>767</v>
      </c>
      <c r="B350" s="39" t="s">
        <v>77</v>
      </c>
      <c r="C350" s="39" t="s">
        <v>771</v>
      </c>
      <c r="D350" s="10"/>
      <c r="E350" s="40">
        <f>E351</f>
        <v>7273</v>
      </c>
      <c r="F350" s="40">
        <f>F351</f>
        <v>7273</v>
      </c>
    </row>
    <row r="351" spans="1:6" s="1" customFormat="1" ht="31.5" customHeight="1">
      <c r="A351" s="36" t="s">
        <v>339</v>
      </c>
      <c r="B351" s="39" t="s">
        <v>77</v>
      </c>
      <c r="C351" s="39" t="s">
        <v>771</v>
      </c>
      <c r="D351" s="10" t="s">
        <v>338</v>
      </c>
      <c r="E351" s="40">
        <f>E352</f>
        <v>7273</v>
      </c>
      <c r="F351" s="40">
        <f>F352</f>
        <v>7273</v>
      </c>
    </row>
    <row r="352" spans="1:6" s="1" customFormat="1" ht="27.75" customHeight="1">
      <c r="A352" s="124" t="s">
        <v>337</v>
      </c>
      <c r="B352" s="39" t="s">
        <v>77</v>
      </c>
      <c r="C352" s="39" t="s">
        <v>771</v>
      </c>
      <c r="D352" s="10" t="s">
        <v>336</v>
      </c>
      <c r="E352" s="40">
        <v>7273</v>
      </c>
      <c r="F352" s="40">
        <f>E352</f>
        <v>7273</v>
      </c>
    </row>
    <row r="353" spans="1:6" s="1" customFormat="1" ht="49.5" customHeight="1">
      <c r="A353" s="43" t="s">
        <v>773</v>
      </c>
      <c r="B353" s="39" t="s">
        <v>77</v>
      </c>
      <c r="C353" s="39" t="s">
        <v>771</v>
      </c>
      <c r="D353" s="10"/>
      <c r="E353" s="40">
        <f>E354</f>
        <v>383</v>
      </c>
      <c r="F353" s="40">
        <f>F354</f>
        <v>0</v>
      </c>
    </row>
    <row r="354" spans="1:6" s="1" customFormat="1" ht="30" customHeight="1">
      <c r="A354" s="36" t="s">
        <v>339</v>
      </c>
      <c r="B354" s="39" t="s">
        <v>77</v>
      </c>
      <c r="C354" s="39" t="s">
        <v>771</v>
      </c>
      <c r="D354" s="10" t="s">
        <v>338</v>
      </c>
      <c r="E354" s="40">
        <f>E355</f>
        <v>383</v>
      </c>
      <c r="F354" s="40">
        <f>F355</f>
        <v>0</v>
      </c>
    </row>
    <row r="355" spans="1:6" s="1" customFormat="1" ht="21" customHeight="1">
      <c r="A355" s="124" t="s">
        <v>337</v>
      </c>
      <c r="B355" s="39" t="s">
        <v>77</v>
      </c>
      <c r="C355" s="39" t="s">
        <v>771</v>
      </c>
      <c r="D355" s="10" t="s">
        <v>336</v>
      </c>
      <c r="E355" s="40">
        <v>383</v>
      </c>
      <c r="F355" s="40">
        <v>0</v>
      </c>
    </row>
    <row r="356" spans="1:6" s="1" customFormat="1" ht="89.25" customHeight="1">
      <c r="A356" s="43" t="s">
        <v>768</v>
      </c>
      <c r="B356" s="39" t="s">
        <v>77</v>
      </c>
      <c r="C356" s="39" t="s">
        <v>772</v>
      </c>
      <c r="D356" s="10"/>
      <c r="E356" s="40">
        <f>E357</f>
        <v>1393</v>
      </c>
      <c r="F356" s="40">
        <f>F357</f>
        <v>1393</v>
      </c>
    </row>
    <row r="357" spans="1:6" s="1" customFormat="1" ht="36" customHeight="1">
      <c r="A357" s="36" t="s">
        <v>339</v>
      </c>
      <c r="B357" s="39" t="s">
        <v>77</v>
      </c>
      <c r="C357" s="39" t="s">
        <v>772</v>
      </c>
      <c r="D357" s="10" t="s">
        <v>338</v>
      </c>
      <c r="E357" s="40">
        <f>E358</f>
        <v>1393</v>
      </c>
      <c r="F357" s="40">
        <f>F358</f>
        <v>1393</v>
      </c>
    </row>
    <row r="358" spans="1:6" s="1" customFormat="1" ht="21.75" customHeight="1">
      <c r="A358" s="124" t="s">
        <v>337</v>
      </c>
      <c r="B358" s="39" t="s">
        <v>77</v>
      </c>
      <c r="C358" s="39" t="s">
        <v>772</v>
      </c>
      <c r="D358" s="10" t="s">
        <v>336</v>
      </c>
      <c r="E358" s="40">
        <v>1393</v>
      </c>
      <c r="F358" s="40">
        <f>E358</f>
        <v>1393</v>
      </c>
    </row>
    <row r="359" spans="1:6" s="1" customFormat="1" ht="106.5" customHeight="1">
      <c r="A359" s="43" t="s">
        <v>774</v>
      </c>
      <c r="B359" s="39" t="s">
        <v>77</v>
      </c>
      <c r="C359" s="39" t="s">
        <v>772</v>
      </c>
      <c r="D359" s="10"/>
      <c r="E359" s="40">
        <f>E360</f>
        <v>15</v>
      </c>
      <c r="F359" s="40">
        <f>F360</f>
        <v>0</v>
      </c>
    </row>
    <row r="360" spans="1:6" s="1" customFormat="1" ht="30" customHeight="1">
      <c r="A360" s="36" t="s">
        <v>339</v>
      </c>
      <c r="B360" s="39" t="s">
        <v>77</v>
      </c>
      <c r="C360" s="39" t="s">
        <v>772</v>
      </c>
      <c r="D360" s="10" t="s">
        <v>338</v>
      </c>
      <c r="E360" s="40">
        <f>E361</f>
        <v>15</v>
      </c>
      <c r="F360" s="40">
        <f>F361</f>
        <v>0</v>
      </c>
    </row>
    <row r="361" spans="1:6" s="1" customFormat="1" ht="21.75" customHeight="1">
      <c r="A361" s="124" t="s">
        <v>337</v>
      </c>
      <c r="B361" s="39" t="s">
        <v>77</v>
      </c>
      <c r="C361" s="39" t="s">
        <v>772</v>
      </c>
      <c r="D361" s="10" t="s">
        <v>336</v>
      </c>
      <c r="E361" s="40">
        <v>15</v>
      </c>
      <c r="F361" s="40">
        <v>0</v>
      </c>
    </row>
    <row r="362" spans="1:6" s="1" customFormat="1" ht="46.5" customHeight="1">
      <c r="A362" s="46" t="s">
        <v>10</v>
      </c>
      <c r="B362" s="47" t="s">
        <v>77</v>
      </c>
      <c r="C362" s="48" t="s">
        <v>34</v>
      </c>
      <c r="D362" s="48"/>
      <c r="E362" s="44">
        <f>E363</f>
        <v>0</v>
      </c>
      <c r="F362" s="44">
        <f>F363</f>
        <v>0</v>
      </c>
    </row>
    <row r="363" spans="1:6" s="1" customFormat="1" ht="21" customHeight="1">
      <c r="A363" s="46" t="s">
        <v>196</v>
      </c>
      <c r="B363" s="47" t="s">
        <v>77</v>
      </c>
      <c r="C363" s="48" t="s">
        <v>195</v>
      </c>
      <c r="D363" s="48"/>
      <c r="E363" s="53">
        <f>E364+E366</f>
        <v>0</v>
      </c>
      <c r="F363" s="96"/>
    </row>
    <row r="364" spans="1:6" s="1" customFormat="1" ht="18" customHeight="1">
      <c r="A364" s="46" t="s">
        <v>174</v>
      </c>
      <c r="B364" s="47" t="s">
        <v>77</v>
      </c>
      <c r="C364" s="48" t="s">
        <v>195</v>
      </c>
      <c r="D364" s="48" t="s">
        <v>173</v>
      </c>
      <c r="E364" s="53">
        <f>E365</f>
        <v>0</v>
      </c>
      <c r="F364" s="96"/>
    </row>
    <row r="365" spans="1:6" s="1" customFormat="1" ht="30.75" customHeight="1">
      <c r="A365" s="58" t="s">
        <v>176</v>
      </c>
      <c r="B365" s="47" t="s">
        <v>77</v>
      </c>
      <c r="C365" s="48" t="s">
        <v>195</v>
      </c>
      <c r="D365" s="47" t="s">
        <v>175</v>
      </c>
      <c r="E365" s="50"/>
      <c r="F365" s="83"/>
    </row>
    <row r="366" spans="1:6" s="1" customFormat="1" ht="30.75" customHeight="1">
      <c r="A366" s="36" t="s">
        <v>339</v>
      </c>
      <c r="B366" s="47" t="s">
        <v>77</v>
      </c>
      <c r="C366" s="48" t="s">
        <v>195</v>
      </c>
      <c r="D366" s="47" t="s">
        <v>338</v>
      </c>
      <c r="E366" s="50">
        <f>E367</f>
        <v>0</v>
      </c>
      <c r="F366" s="83"/>
    </row>
    <row r="367" spans="1:6" s="1" customFormat="1" ht="17.25" customHeight="1">
      <c r="A367" s="43" t="s">
        <v>337</v>
      </c>
      <c r="B367" s="47" t="s">
        <v>77</v>
      </c>
      <c r="C367" s="48" t="s">
        <v>195</v>
      </c>
      <c r="D367" s="47" t="s">
        <v>336</v>
      </c>
      <c r="E367" s="50">
        <v>0</v>
      </c>
      <c r="F367" s="83"/>
    </row>
    <row r="368" spans="1:6" s="5" customFormat="1" ht="19.5" customHeight="1">
      <c r="A368" s="21" t="s">
        <v>138</v>
      </c>
      <c r="B368" s="19" t="s">
        <v>139</v>
      </c>
      <c r="C368" s="19"/>
      <c r="D368" s="19"/>
      <c r="E368" s="20">
        <f aca="true" t="shared" si="1" ref="E368:E373">E369</f>
        <v>0</v>
      </c>
      <c r="F368" s="20"/>
    </row>
    <row r="369" spans="1:6" s="1" customFormat="1" ht="18.75" customHeight="1">
      <c r="A369" s="59" t="s">
        <v>105</v>
      </c>
      <c r="B369" s="63" t="s">
        <v>146</v>
      </c>
      <c r="C369" s="63"/>
      <c r="D369" s="63"/>
      <c r="E369" s="13">
        <f t="shared" si="1"/>
        <v>0</v>
      </c>
      <c r="F369" s="13"/>
    </row>
    <row r="370" spans="1:6" s="1" customFormat="1" ht="26.25" customHeight="1">
      <c r="A370" s="36" t="s">
        <v>245</v>
      </c>
      <c r="B370" s="39" t="s">
        <v>146</v>
      </c>
      <c r="C370" s="38" t="s">
        <v>20</v>
      </c>
      <c r="D370" s="39"/>
      <c r="E370" s="40">
        <f t="shared" si="1"/>
        <v>0</v>
      </c>
      <c r="F370" s="13"/>
    </row>
    <row r="371" spans="1:6" s="1" customFormat="1" ht="20.25" customHeight="1">
      <c r="A371" s="41" t="s">
        <v>41</v>
      </c>
      <c r="B371" s="39" t="s">
        <v>146</v>
      </c>
      <c r="C371" s="39" t="s">
        <v>21</v>
      </c>
      <c r="D371" s="39"/>
      <c r="E371" s="40">
        <f t="shared" si="1"/>
        <v>0</v>
      </c>
      <c r="F371" s="13"/>
    </row>
    <row r="372" spans="1:6" s="1" customFormat="1" ht="27">
      <c r="A372" s="41" t="s">
        <v>140</v>
      </c>
      <c r="B372" s="39" t="s">
        <v>146</v>
      </c>
      <c r="C372" s="39" t="s">
        <v>415</v>
      </c>
      <c r="D372" s="39"/>
      <c r="E372" s="40">
        <f t="shared" si="1"/>
        <v>0</v>
      </c>
      <c r="F372" s="40"/>
    </row>
    <row r="373" spans="1:6" s="1" customFormat="1" ht="19.5" customHeight="1">
      <c r="A373" s="46" t="s">
        <v>174</v>
      </c>
      <c r="B373" s="39" t="s">
        <v>146</v>
      </c>
      <c r="C373" s="39" t="str">
        <f>$C$372</f>
        <v>12 5 00 01030</v>
      </c>
      <c r="D373" s="39" t="s">
        <v>173</v>
      </c>
      <c r="E373" s="40">
        <f t="shared" si="1"/>
        <v>0</v>
      </c>
      <c r="F373" s="40"/>
    </row>
    <row r="374" spans="1:6" s="1" customFormat="1" ht="31.5" customHeight="1">
      <c r="A374" s="46" t="s">
        <v>176</v>
      </c>
      <c r="B374" s="39" t="s">
        <v>146</v>
      </c>
      <c r="C374" s="39" t="str">
        <f>$C$372</f>
        <v>12 5 00 01030</v>
      </c>
      <c r="D374" s="39" t="s">
        <v>175</v>
      </c>
      <c r="E374" s="40"/>
      <c r="F374" s="40"/>
    </row>
    <row r="375" spans="1:6" s="5" customFormat="1" ht="32.25" customHeight="1">
      <c r="A375" s="22" t="s">
        <v>111</v>
      </c>
      <c r="B375" s="19" t="s">
        <v>112</v>
      </c>
      <c r="C375" s="19"/>
      <c r="D375" s="19"/>
      <c r="E375" s="20">
        <f>E376+E397</f>
        <v>0</v>
      </c>
      <c r="F375" s="20">
        <f>F376</f>
        <v>0</v>
      </c>
    </row>
    <row r="376" spans="1:6" s="1" customFormat="1" ht="42.75">
      <c r="A376" s="59" t="s">
        <v>62</v>
      </c>
      <c r="B376" s="63" t="s">
        <v>113</v>
      </c>
      <c r="C376" s="63"/>
      <c r="D376" s="65"/>
      <c r="E376" s="11">
        <f>E377</f>
        <v>0</v>
      </c>
      <c r="F376" s="11"/>
    </row>
    <row r="377" spans="1:6" s="1" customFormat="1" ht="36" customHeight="1">
      <c r="A377" s="60" t="s">
        <v>267</v>
      </c>
      <c r="B377" s="39" t="s">
        <v>113</v>
      </c>
      <c r="C377" s="47" t="s">
        <v>416</v>
      </c>
      <c r="D377" s="37"/>
      <c r="E377" s="40">
        <f>E378+E393+E389</f>
        <v>0</v>
      </c>
      <c r="F377" s="39"/>
    </row>
    <row r="378" spans="1:6" s="1" customFormat="1" ht="48" customHeight="1">
      <c r="A378" s="60" t="s">
        <v>1</v>
      </c>
      <c r="B378" s="39" t="s">
        <v>113</v>
      </c>
      <c r="C378" s="48" t="s">
        <v>418</v>
      </c>
      <c r="D378" s="38"/>
      <c r="E378" s="57">
        <f>E382+E379</f>
        <v>0</v>
      </c>
      <c r="F378" s="39"/>
    </row>
    <row r="379" spans="1:6" s="1" customFormat="1" ht="45.75" customHeight="1">
      <c r="A379" s="60" t="s">
        <v>422</v>
      </c>
      <c r="B379" s="39" t="s">
        <v>113</v>
      </c>
      <c r="C379" s="48" t="s">
        <v>423</v>
      </c>
      <c r="D379" s="38"/>
      <c r="E379" s="40">
        <f>E380</f>
        <v>0</v>
      </c>
      <c r="F379" s="39"/>
    </row>
    <row r="380" spans="1:6" s="1" customFormat="1" ht="27" customHeight="1">
      <c r="A380" s="46" t="s">
        <v>174</v>
      </c>
      <c r="B380" s="39" t="s">
        <v>113</v>
      </c>
      <c r="C380" s="48" t="s">
        <v>423</v>
      </c>
      <c r="D380" s="38" t="s">
        <v>173</v>
      </c>
      <c r="E380" s="57">
        <f>E381</f>
        <v>0</v>
      </c>
      <c r="F380" s="39"/>
    </row>
    <row r="381" spans="1:6" s="1" customFormat="1" ht="33" customHeight="1">
      <c r="A381" s="46" t="s">
        <v>176</v>
      </c>
      <c r="B381" s="39" t="s">
        <v>113</v>
      </c>
      <c r="C381" s="48" t="s">
        <v>423</v>
      </c>
      <c r="D381" s="38" t="s">
        <v>175</v>
      </c>
      <c r="E381" s="57"/>
      <c r="F381" s="39"/>
    </row>
    <row r="382" spans="1:6" s="1" customFormat="1" ht="29.25" customHeight="1">
      <c r="A382" s="55" t="s">
        <v>225</v>
      </c>
      <c r="B382" s="39" t="s">
        <v>113</v>
      </c>
      <c r="C382" s="48" t="s">
        <v>226</v>
      </c>
      <c r="D382" s="38"/>
      <c r="E382" s="57">
        <f>E383+E385+E387</f>
        <v>0</v>
      </c>
      <c r="F382" s="39"/>
    </row>
    <row r="383" spans="1:6" s="1" customFormat="1" ht="63.75" customHeight="1">
      <c r="A383" s="56" t="s">
        <v>331</v>
      </c>
      <c r="B383" s="39" t="s">
        <v>113</v>
      </c>
      <c r="C383" s="48" t="s">
        <v>226</v>
      </c>
      <c r="D383" s="38" t="s">
        <v>179</v>
      </c>
      <c r="E383" s="57">
        <f>E384</f>
        <v>0</v>
      </c>
      <c r="F383" s="39"/>
    </row>
    <row r="384" spans="1:6" s="1" customFormat="1" ht="24.75" customHeight="1">
      <c r="A384" s="56" t="s">
        <v>333</v>
      </c>
      <c r="B384" s="39" t="s">
        <v>113</v>
      </c>
      <c r="C384" s="48" t="s">
        <v>226</v>
      </c>
      <c r="D384" s="38" t="s">
        <v>332</v>
      </c>
      <c r="E384" s="57"/>
      <c r="F384" s="39"/>
    </row>
    <row r="385" spans="1:6" s="1" customFormat="1" ht="20.25" customHeight="1">
      <c r="A385" s="46" t="s">
        <v>174</v>
      </c>
      <c r="B385" s="39" t="s">
        <v>113</v>
      </c>
      <c r="C385" s="48" t="s">
        <v>226</v>
      </c>
      <c r="D385" s="38" t="s">
        <v>173</v>
      </c>
      <c r="E385" s="57">
        <f>E386</f>
        <v>0</v>
      </c>
      <c r="F385" s="39"/>
    </row>
    <row r="386" spans="1:6" s="1" customFormat="1" ht="36" customHeight="1">
      <c r="A386" s="46" t="s">
        <v>176</v>
      </c>
      <c r="B386" s="39" t="s">
        <v>113</v>
      </c>
      <c r="C386" s="48" t="s">
        <v>226</v>
      </c>
      <c r="D386" s="38" t="s">
        <v>175</v>
      </c>
      <c r="E386" s="57"/>
      <c r="F386" s="39"/>
    </row>
    <row r="387" spans="1:6" s="1" customFormat="1" ht="29.25" customHeight="1">
      <c r="A387" s="46" t="s">
        <v>178</v>
      </c>
      <c r="B387" s="39" t="s">
        <v>113</v>
      </c>
      <c r="C387" s="48" t="s">
        <v>226</v>
      </c>
      <c r="D387" s="38" t="s">
        <v>177</v>
      </c>
      <c r="E387" s="57">
        <f>E388</f>
        <v>0</v>
      </c>
      <c r="F387" s="39"/>
    </row>
    <row r="388" spans="1:6" s="1" customFormat="1" ht="29.25" customHeight="1">
      <c r="A388" s="58" t="s">
        <v>335</v>
      </c>
      <c r="B388" s="39" t="s">
        <v>113</v>
      </c>
      <c r="C388" s="47" t="s">
        <v>226</v>
      </c>
      <c r="D388" s="37" t="s">
        <v>334</v>
      </c>
      <c r="E388" s="40"/>
      <c r="F388" s="39"/>
    </row>
    <row r="389" spans="1:6" s="1" customFormat="1" ht="34.5" customHeight="1">
      <c r="A389" s="36" t="s">
        <v>497</v>
      </c>
      <c r="B389" s="39" t="s">
        <v>113</v>
      </c>
      <c r="C389" s="48" t="s">
        <v>204</v>
      </c>
      <c r="D389" s="38"/>
      <c r="E389" s="40">
        <f>E390</f>
        <v>0</v>
      </c>
      <c r="F389" s="39"/>
    </row>
    <row r="390" spans="1:6" s="1" customFormat="1" ht="45.75" customHeight="1">
      <c r="A390" s="36" t="s">
        <v>498</v>
      </c>
      <c r="B390" s="39" t="s">
        <v>113</v>
      </c>
      <c r="C390" s="48" t="s">
        <v>205</v>
      </c>
      <c r="D390" s="38"/>
      <c r="E390" s="57">
        <f>E391</f>
        <v>0</v>
      </c>
      <c r="F390" s="39"/>
    </row>
    <row r="391" spans="1:6" s="1" customFormat="1" ht="26.25" customHeight="1">
      <c r="A391" s="46" t="s">
        <v>174</v>
      </c>
      <c r="B391" s="39" t="s">
        <v>113</v>
      </c>
      <c r="C391" s="48" t="s">
        <v>205</v>
      </c>
      <c r="D391" s="38" t="s">
        <v>173</v>
      </c>
      <c r="E391" s="57">
        <f>E392</f>
        <v>0</v>
      </c>
      <c r="F391" s="39"/>
    </row>
    <row r="392" spans="1:6" s="1" customFormat="1" ht="33.75" customHeight="1">
      <c r="A392" s="46" t="s">
        <v>176</v>
      </c>
      <c r="B392" s="39" t="s">
        <v>113</v>
      </c>
      <c r="C392" s="48" t="s">
        <v>205</v>
      </c>
      <c r="D392" s="38" t="s">
        <v>175</v>
      </c>
      <c r="E392" s="57"/>
      <c r="F392" s="39"/>
    </row>
    <row r="393" spans="1:6" s="1" customFormat="1" ht="34.5" customHeight="1">
      <c r="A393" s="36" t="s">
        <v>43</v>
      </c>
      <c r="B393" s="39" t="s">
        <v>113</v>
      </c>
      <c r="C393" s="48" t="s">
        <v>223</v>
      </c>
      <c r="D393" s="38"/>
      <c r="E393" s="57">
        <f>E394</f>
        <v>0</v>
      </c>
      <c r="F393" s="39"/>
    </row>
    <row r="394" spans="1:6" s="1" customFormat="1" ht="34.5" customHeight="1">
      <c r="A394" s="36" t="s">
        <v>499</v>
      </c>
      <c r="B394" s="39" t="s">
        <v>113</v>
      </c>
      <c r="C394" s="48" t="s">
        <v>224</v>
      </c>
      <c r="D394" s="38"/>
      <c r="E394" s="57">
        <f>E395</f>
        <v>0</v>
      </c>
      <c r="F394" s="39"/>
    </row>
    <row r="395" spans="1:6" s="1" customFormat="1" ht="20.25" customHeight="1">
      <c r="A395" s="46" t="s">
        <v>174</v>
      </c>
      <c r="B395" s="39" t="s">
        <v>113</v>
      </c>
      <c r="C395" s="48" t="s">
        <v>224</v>
      </c>
      <c r="D395" s="38" t="s">
        <v>173</v>
      </c>
      <c r="E395" s="57">
        <f>E396</f>
        <v>0</v>
      </c>
      <c r="F395" s="39"/>
    </row>
    <row r="396" spans="1:6" s="1" customFormat="1" ht="33" customHeight="1">
      <c r="A396" s="46" t="s">
        <v>176</v>
      </c>
      <c r="B396" s="39" t="s">
        <v>113</v>
      </c>
      <c r="C396" s="48" t="s">
        <v>224</v>
      </c>
      <c r="D396" s="38" t="s">
        <v>175</v>
      </c>
      <c r="E396" s="57"/>
      <c r="F396" s="39"/>
    </row>
    <row r="397" spans="1:6" s="1" customFormat="1" ht="33" customHeight="1">
      <c r="A397" s="110" t="s">
        <v>489</v>
      </c>
      <c r="B397" s="111" t="s">
        <v>490</v>
      </c>
      <c r="C397" s="112"/>
      <c r="D397" s="113"/>
      <c r="E397" s="114">
        <f>E398+E402</f>
        <v>0</v>
      </c>
      <c r="F397" s="114">
        <f>F402</f>
        <v>0</v>
      </c>
    </row>
    <row r="398" spans="1:6" s="1" customFormat="1" ht="33" customHeight="1">
      <c r="A398" s="60" t="s">
        <v>222</v>
      </c>
      <c r="B398" s="39" t="s">
        <v>490</v>
      </c>
      <c r="C398" s="47" t="s">
        <v>417</v>
      </c>
      <c r="D398" s="37"/>
      <c r="E398" s="40">
        <f>E399</f>
        <v>0</v>
      </c>
      <c r="F398" s="39"/>
    </row>
    <row r="399" spans="1:6" s="1" customFormat="1" ht="33" customHeight="1">
      <c r="A399" s="60" t="s">
        <v>500</v>
      </c>
      <c r="B399" s="39" t="s">
        <v>490</v>
      </c>
      <c r="C399" s="47" t="s">
        <v>202</v>
      </c>
      <c r="D399" s="38"/>
      <c r="E399" s="57">
        <f>E400</f>
        <v>0</v>
      </c>
      <c r="F399" s="39"/>
    </row>
    <row r="400" spans="1:6" s="1" customFormat="1" ht="21.75" customHeight="1">
      <c r="A400" s="46" t="s">
        <v>174</v>
      </c>
      <c r="B400" s="39" t="s">
        <v>490</v>
      </c>
      <c r="C400" s="47" t="s">
        <v>202</v>
      </c>
      <c r="D400" s="38" t="s">
        <v>173</v>
      </c>
      <c r="E400" s="57">
        <f>E401</f>
        <v>0</v>
      </c>
      <c r="F400" s="39"/>
    </row>
    <row r="401" spans="1:6" s="1" customFormat="1" ht="33" customHeight="1">
      <c r="A401" s="46" t="s">
        <v>176</v>
      </c>
      <c r="B401" s="39" t="s">
        <v>490</v>
      </c>
      <c r="C401" s="47" t="s">
        <v>202</v>
      </c>
      <c r="D401" s="38" t="s">
        <v>175</v>
      </c>
      <c r="E401" s="57"/>
      <c r="F401" s="39"/>
    </row>
    <row r="402" spans="1:6" s="1" customFormat="1" ht="23.25" customHeight="1">
      <c r="A402" s="36" t="s">
        <v>193</v>
      </c>
      <c r="B402" s="39" t="s">
        <v>490</v>
      </c>
      <c r="C402" s="48" t="s">
        <v>419</v>
      </c>
      <c r="D402" s="38"/>
      <c r="E402" s="57">
        <f>E403</f>
        <v>0</v>
      </c>
      <c r="F402" s="57">
        <f>F404</f>
        <v>0</v>
      </c>
    </row>
    <row r="403" spans="1:6" s="1" customFormat="1" ht="30" customHeight="1">
      <c r="A403" s="36" t="s">
        <v>501</v>
      </c>
      <c r="B403" s="39" t="s">
        <v>490</v>
      </c>
      <c r="C403" s="48" t="s">
        <v>234</v>
      </c>
      <c r="D403" s="38"/>
      <c r="E403" s="57">
        <f>E404</f>
        <v>0</v>
      </c>
      <c r="F403" s="57"/>
    </row>
    <row r="404" spans="1:6" s="1" customFormat="1" ht="21.75" customHeight="1">
      <c r="A404" s="46" t="s">
        <v>174</v>
      </c>
      <c r="B404" s="39" t="s">
        <v>490</v>
      </c>
      <c r="C404" s="48" t="s">
        <v>234</v>
      </c>
      <c r="D404" s="38" t="s">
        <v>173</v>
      </c>
      <c r="E404" s="57">
        <f>E405</f>
        <v>0</v>
      </c>
      <c r="F404" s="39"/>
    </row>
    <row r="405" spans="1:6" s="1" customFormat="1" ht="30" customHeight="1">
      <c r="A405" s="46" t="s">
        <v>176</v>
      </c>
      <c r="B405" s="39" t="s">
        <v>490</v>
      </c>
      <c r="C405" s="48" t="s">
        <v>234</v>
      </c>
      <c r="D405" s="38" t="s">
        <v>175</v>
      </c>
      <c r="E405" s="57"/>
      <c r="F405" s="39"/>
    </row>
    <row r="406" spans="1:8" s="5" customFormat="1" ht="18" customHeight="1">
      <c r="A406" s="23" t="s">
        <v>114</v>
      </c>
      <c r="B406" s="19" t="s">
        <v>115</v>
      </c>
      <c r="C406" s="19"/>
      <c r="D406" s="19"/>
      <c r="E406" s="20">
        <f>E414+E519+E428+E407+E478</f>
        <v>-2125.6</v>
      </c>
      <c r="F406" s="20">
        <f>F414+F519+F428+F407+F478</f>
        <v>0</v>
      </c>
      <c r="H406" s="101"/>
    </row>
    <row r="407" spans="1:6" s="5" customFormat="1" ht="18" customHeight="1">
      <c r="A407" s="59" t="s">
        <v>515</v>
      </c>
      <c r="B407" s="63" t="s">
        <v>514</v>
      </c>
      <c r="C407" s="19"/>
      <c r="D407" s="19"/>
      <c r="E407" s="20">
        <f>E408</f>
        <v>0</v>
      </c>
      <c r="F407" s="20">
        <f>F408</f>
        <v>0</v>
      </c>
    </row>
    <row r="408" spans="1:6" s="5" customFormat="1" ht="78" customHeight="1">
      <c r="A408" s="36" t="s">
        <v>269</v>
      </c>
      <c r="B408" s="47" t="s">
        <v>514</v>
      </c>
      <c r="C408" s="48" t="s">
        <v>36</v>
      </c>
      <c r="D408" s="48"/>
      <c r="E408" s="53">
        <f>E409</f>
        <v>0</v>
      </c>
      <c r="F408" s="53">
        <f>F409</f>
        <v>0</v>
      </c>
    </row>
    <row r="409" spans="1:6" s="5" customFormat="1" ht="63.75" customHeight="1">
      <c r="A409" s="46" t="s">
        <v>254</v>
      </c>
      <c r="B409" s="47" t="s">
        <v>514</v>
      </c>
      <c r="C409" s="48" t="s">
        <v>446</v>
      </c>
      <c r="D409" s="48"/>
      <c r="E409" s="53">
        <f>E412+E410</f>
        <v>0</v>
      </c>
      <c r="F409" s="53">
        <f>F412+F410</f>
        <v>0</v>
      </c>
    </row>
    <row r="410" spans="1:6" s="5" customFormat="1" ht="62.25" customHeight="1">
      <c r="A410" s="46" t="s">
        <v>331</v>
      </c>
      <c r="B410" s="47" t="s">
        <v>514</v>
      </c>
      <c r="C410" s="48" t="s">
        <v>446</v>
      </c>
      <c r="D410" s="48" t="s">
        <v>179</v>
      </c>
      <c r="E410" s="53">
        <f>E411</f>
        <v>0</v>
      </c>
      <c r="F410" s="53">
        <f>F411</f>
        <v>0</v>
      </c>
    </row>
    <row r="411" spans="1:6" s="5" customFormat="1" ht="18" customHeight="1">
      <c r="A411" s="46" t="s">
        <v>172</v>
      </c>
      <c r="B411" s="47" t="s">
        <v>514</v>
      </c>
      <c r="C411" s="48" t="s">
        <v>446</v>
      </c>
      <c r="D411" s="48" t="s">
        <v>171</v>
      </c>
      <c r="E411" s="53"/>
      <c r="F411" s="53">
        <f>E411</f>
        <v>0</v>
      </c>
    </row>
    <row r="412" spans="1:6" s="5" customFormat="1" ht="21.75" customHeight="1">
      <c r="A412" s="46" t="s">
        <v>174</v>
      </c>
      <c r="B412" s="47" t="s">
        <v>514</v>
      </c>
      <c r="C412" s="48" t="s">
        <v>446</v>
      </c>
      <c r="D412" s="48" t="s">
        <v>173</v>
      </c>
      <c r="E412" s="53">
        <f>E413</f>
        <v>0</v>
      </c>
      <c r="F412" s="53">
        <f>F413</f>
        <v>0</v>
      </c>
    </row>
    <row r="413" spans="1:6" s="5" customFormat="1" ht="33" customHeight="1">
      <c r="A413" s="58" t="s">
        <v>176</v>
      </c>
      <c r="B413" s="47" t="s">
        <v>514</v>
      </c>
      <c r="C413" s="48" t="s">
        <v>446</v>
      </c>
      <c r="D413" s="47" t="s">
        <v>175</v>
      </c>
      <c r="E413" s="50"/>
      <c r="F413" s="50">
        <f>E413</f>
        <v>0</v>
      </c>
    </row>
    <row r="414" spans="1:8" s="1" customFormat="1" ht="17.25" customHeight="1">
      <c r="A414" s="59" t="s">
        <v>141</v>
      </c>
      <c r="B414" s="63" t="s">
        <v>142</v>
      </c>
      <c r="C414" s="63"/>
      <c r="D414" s="63"/>
      <c r="E414" s="13">
        <f>E415</f>
        <v>0</v>
      </c>
      <c r="F414" s="13">
        <f>F415</f>
        <v>0</v>
      </c>
      <c r="H414" s="100"/>
    </row>
    <row r="415" spans="1:6" s="1" customFormat="1" ht="52.5" customHeight="1">
      <c r="A415" s="58" t="s">
        <v>268</v>
      </c>
      <c r="B415" s="39" t="s">
        <v>142</v>
      </c>
      <c r="C415" s="39" t="s">
        <v>348</v>
      </c>
      <c r="D415" s="39"/>
      <c r="E415" s="40">
        <f>E416</f>
        <v>0</v>
      </c>
      <c r="F415" s="40">
        <f>F416</f>
        <v>0</v>
      </c>
    </row>
    <row r="416" spans="1:6" s="1" customFormat="1" ht="46.5" customHeight="1">
      <c r="A416" s="58" t="s">
        <v>316</v>
      </c>
      <c r="B416" s="39" t="s">
        <v>142</v>
      </c>
      <c r="C416" s="39" t="s">
        <v>317</v>
      </c>
      <c r="D416" s="39"/>
      <c r="E416" s="40">
        <f>E420+E423+E417</f>
        <v>0</v>
      </c>
      <c r="F416" s="40">
        <f>F420+F423+F417</f>
        <v>0</v>
      </c>
    </row>
    <row r="417" spans="1:6" s="1" customFormat="1" ht="51.75" customHeight="1">
      <c r="A417" s="51" t="s">
        <v>527</v>
      </c>
      <c r="B417" s="39" t="s">
        <v>142</v>
      </c>
      <c r="C417" s="39" t="s">
        <v>696</v>
      </c>
      <c r="D417" s="39"/>
      <c r="E417" s="40">
        <f>E418</f>
        <v>0</v>
      </c>
      <c r="F417" s="40">
        <f>F418</f>
        <v>0</v>
      </c>
    </row>
    <row r="418" spans="1:6" s="1" customFormat="1" ht="21" customHeight="1">
      <c r="A418" s="46" t="s">
        <v>174</v>
      </c>
      <c r="B418" s="10" t="s">
        <v>142</v>
      </c>
      <c r="C418" s="39" t="s">
        <v>696</v>
      </c>
      <c r="D418" s="10" t="s">
        <v>173</v>
      </c>
      <c r="E418" s="57">
        <f>E419</f>
        <v>0</v>
      </c>
      <c r="F418" s="57">
        <f>F419</f>
        <v>0</v>
      </c>
    </row>
    <row r="419" spans="1:6" s="1" customFormat="1" ht="31.5" customHeight="1">
      <c r="A419" s="58" t="s">
        <v>176</v>
      </c>
      <c r="B419" s="39" t="s">
        <v>142</v>
      </c>
      <c r="C419" s="39" t="s">
        <v>696</v>
      </c>
      <c r="D419" s="39" t="s">
        <v>175</v>
      </c>
      <c r="E419" s="40"/>
      <c r="F419" s="40"/>
    </row>
    <row r="420" spans="1:6" s="1" customFormat="1" ht="63" customHeight="1">
      <c r="A420" s="51" t="s">
        <v>157</v>
      </c>
      <c r="B420" s="39" t="s">
        <v>142</v>
      </c>
      <c r="C420" s="39" t="s">
        <v>318</v>
      </c>
      <c r="D420" s="39"/>
      <c r="E420" s="40">
        <f>E421</f>
        <v>0</v>
      </c>
      <c r="F420" s="40"/>
    </row>
    <row r="421" spans="1:6" s="1" customFormat="1" ht="18.75" customHeight="1">
      <c r="A421" s="46" t="s">
        <v>174</v>
      </c>
      <c r="B421" s="10" t="s">
        <v>142</v>
      </c>
      <c r="C421" s="39" t="s">
        <v>318</v>
      </c>
      <c r="D421" s="10" t="s">
        <v>173</v>
      </c>
      <c r="E421" s="57">
        <f>E422</f>
        <v>0</v>
      </c>
      <c r="F421" s="57"/>
    </row>
    <row r="422" spans="1:6" s="1" customFormat="1" ht="31.5" customHeight="1">
      <c r="A422" s="58" t="s">
        <v>176</v>
      </c>
      <c r="B422" s="39" t="s">
        <v>142</v>
      </c>
      <c r="C422" s="39" t="s">
        <v>318</v>
      </c>
      <c r="D422" s="39" t="s">
        <v>175</v>
      </c>
      <c r="E422" s="40"/>
      <c r="F422" s="40"/>
    </row>
    <row r="423" spans="1:6" s="1" customFormat="1" ht="21.75" customHeight="1">
      <c r="A423" s="46" t="s">
        <v>217</v>
      </c>
      <c r="B423" s="10" t="s">
        <v>142</v>
      </c>
      <c r="C423" s="39" t="s">
        <v>319</v>
      </c>
      <c r="D423" s="10"/>
      <c r="E423" s="57">
        <f>E424+E426</f>
        <v>0</v>
      </c>
      <c r="F423" s="57"/>
    </row>
    <row r="424" spans="1:6" s="1" customFormat="1" ht="20.25" customHeight="1">
      <c r="A424" s="46" t="s">
        <v>174</v>
      </c>
      <c r="B424" s="10" t="s">
        <v>142</v>
      </c>
      <c r="C424" s="39" t="s">
        <v>319</v>
      </c>
      <c r="D424" s="10" t="s">
        <v>173</v>
      </c>
      <c r="E424" s="57">
        <f>E425</f>
        <v>0</v>
      </c>
      <c r="F424" s="57"/>
    </row>
    <row r="425" spans="1:6" s="1" customFormat="1" ht="31.5" customHeight="1">
      <c r="A425" s="58" t="s">
        <v>176</v>
      </c>
      <c r="B425" s="10" t="s">
        <v>142</v>
      </c>
      <c r="C425" s="39" t="s">
        <v>319</v>
      </c>
      <c r="D425" s="10" t="s">
        <v>175</v>
      </c>
      <c r="E425" s="57"/>
      <c r="F425" s="57"/>
    </row>
    <row r="426" spans="1:6" s="1" customFormat="1" ht="19.5" customHeight="1">
      <c r="A426" s="46" t="s">
        <v>178</v>
      </c>
      <c r="B426" s="10" t="s">
        <v>142</v>
      </c>
      <c r="C426" s="39" t="s">
        <v>319</v>
      </c>
      <c r="D426" s="10" t="s">
        <v>177</v>
      </c>
      <c r="E426" s="57">
        <f>E427</f>
        <v>0</v>
      </c>
      <c r="F426" s="57"/>
    </row>
    <row r="427" spans="1:6" s="1" customFormat="1" ht="20.25" customHeight="1">
      <c r="A427" s="46" t="s">
        <v>344</v>
      </c>
      <c r="B427" s="10" t="s">
        <v>142</v>
      </c>
      <c r="C427" s="39" t="s">
        <v>319</v>
      </c>
      <c r="D427" s="10" t="s">
        <v>343</v>
      </c>
      <c r="E427" s="57"/>
      <c r="F427" s="57"/>
    </row>
    <row r="428" spans="1:6" s="1" customFormat="1" ht="18.75" customHeight="1">
      <c r="A428" s="61" t="s">
        <v>13</v>
      </c>
      <c r="B428" s="62" t="s">
        <v>12</v>
      </c>
      <c r="C428" s="62"/>
      <c r="D428" s="62"/>
      <c r="E428" s="12">
        <f>E429+E467</f>
        <v>0</v>
      </c>
      <c r="F428" s="12">
        <f>F429</f>
        <v>0</v>
      </c>
    </row>
    <row r="429" spans="1:6" s="1" customFormat="1" ht="53.25" customHeight="1">
      <c r="A429" s="58" t="s">
        <v>268</v>
      </c>
      <c r="B429" s="10" t="s">
        <v>12</v>
      </c>
      <c r="C429" s="10" t="s">
        <v>348</v>
      </c>
      <c r="D429" s="10"/>
      <c r="E429" s="57">
        <f>E430</f>
        <v>0</v>
      </c>
      <c r="F429" s="57">
        <f>F430</f>
        <v>0</v>
      </c>
    </row>
    <row r="430" spans="1:6" s="1" customFormat="1" ht="48" customHeight="1">
      <c r="A430" s="58" t="s">
        <v>471</v>
      </c>
      <c r="B430" s="10" t="s">
        <v>12</v>
      </c>
      <c r="C430" s="10" t="s">
        <v>320</v>
      </c>
      <c r="D430" s="10"/>
      <c r="E430" s="57">
        <f>E431+E440+E446+E449+E452+E464+E434+E455+E458+E461+E437+E443</f>
        <v>0</v>
      </c>
      <c r="F430" s="57">
        <f>F431+F440+F446+F449+F452+F464+F434+F455+F458+F461+F437+F443</f>
        <v>0</v>
      </c>
    </row>
    <row r="431" spans="1:6" s="1" customFormat="1" ht="33.75" customHeight="1">
      <c r="A431" s="41" t="s">
        <v>264</v>
      </c>
      <c r="B431" s="10" t="s">
        <v>12</v>
      </c>
      <c r="C431" s="39" t="s">
        <v>321</v>
      </c>
      <c r="D431" s="48"/>
      <c r="E431" s="53">
        <f>E432</f>
        <v>0</v>
      </c>
      <c r="F431" s="57"/>
    </row>
    <row r="432" spans="1:6" s="1" customFormat="1" ht="33" customHeight="1">
      <c r="A432" s="36" t="s">
        <v>339</v>
      </c>
      <c r="B432" s="10" t="s">
        <v>12</v>
      </c>
      <c r="C432" s="39" t="s">
        <v>321</v>
      </c>
      <c r="D432" s="48" t="s">
        <v>338</v>
      </c>
      <c r="E432" s="53">
        <f>E433</f>
        <v>0</v>
      </c>
      <c r="F432" s="57"/>
    </row>
    <row r="433" spans="1:6" s="1" customFormat="1" ht="24" customHeight="1">
      <c r="A433" s="42" t="s">
        <v>337</v>
      </c>
      <c r="B433" s="10" t="s">
        <v>12</v>
      </c>
      <c r="C433" s="39" t="s">
        <v>321</v>
      </c>
      <c r="D433" s="47" t="s">
        <v>336</v>
      </c>
      <c r="E433" s="50"/>
      <c r="F433" s="40"/>
    </row>
    <row r="434" spans="1:6" s="1" customFormat="1" ht="45" customHeight="1">
      <c r="A434" s="42" t="s">
        <v>592</v>
      </c>
      <c r="B434" s="10" t="s">
        <v>12</v>
      </c>
      <c r="C434" s="39" t="s">
        <v>322</v>
      </c>
      <c r="D434" s="47"/>
      <c r="E434" s="53">
        <f>E435</f>
        <v>0</v>
      </c>
      <c r="F434" s="53">
        <f>F435</f>
        <v>0</v>
      </c>
    </row>
    <row r="435" spans="1:6" s="1" customFormat="1" ht="29.25" customHeight="1">
      <c r="A435" s="36" t="s">
        <v>339</v>
      </c>
      <c r="B435" s="10" t="s">
        <v>12</v>
      </c>
      <c r="C435" s="39" t="s">
        <v>322</v>
      </c>
      <c r="D435" s="48" t="s">
        <v>338</v>
      </c>
      <c r="E435" s="53">
        <f>E436</f>
        <v>0</v>
      </c>
      <c r="F435" s="53">
        <f>F436</f>
        <v>0</v>
      </c>
    </row>
    <row r="436" spans="1:6" s="1" customFormat="1" ht="24" customHeight="1">
      <c r="A436" s="42" t="s">
        <v>337</v>
      </c>
      <c r="B436" s="10" t="s">
        <v>12</v>
      </c>
      <c r="C436" s="39" t="s">
        <v>322</v>
      </c>
      <c r="D436" s="47" t="s">
        <v>336</v>
      </c>
      <c r="E436" s="50"/>
      <c r="F436" s="50">
        <f>E436</f>
        <v>0</v>
      </c>
    </row>
    <row r="437" spans="1:6" s="1" customFormat="1" ht="75" customHeight="1">
      <c r="A437" s="42" t="s">
        <v>680</v>
      </c>
      <c r="B437" s="10" t="s">
        <v>12</v>
      </c>
      <c r="C437" s="39" t="s">
        <v>685</v>
      </c>
      <c r="D437" s="47"/>
      <c r="E437" s="50">
        <f>E438</f>
        <v>0</v>
      </c>
      <c r="F437" s="50">
        <f>F438</f>
        <v>0</v>
      </c>
    </row>
    <row r="438" spans="1:6" s="1" customFormat="1" ht="27.75" customHeight="1">
      <c r="A438" s="36" t="s">
        <v>339</v>
      </c>
      <c r="B438" s="39" t="s">
        <v>12</v>
      </c>
      <c r="C438" s="39" t="s">
        <v>685</v>
      </c>
      <c r="D438" s="39" t="s">
        <v>338</v>
      </c>
      <c r="E438" s="40">
        <f>E439</f>
        <v>0</v>
      </c>
      <c r="F438" s="40">
        <f>F439</f>
        <v>0</v>
      </c>
    </row>
    <row r="439" spans="1:6" s="1" customFormat="1" ht="20.25" customHeight="1">
      <c r="A439" s="42" t="s">
        <v>337</v>
      </c>
      <c r="B439" s="39" t="s">
        <v>12</v>
      </c>
      <c r="C439" s="39" t="s">
        <v>685</v>
      </c>
      <c r="D439" s="39" t="s">
        <v>336</v>
      </c>
      <c r="E439" s="40"/>
      <c r="F439" s="40">
        <f>E439</f>
        <v>0</v>
      </c>
    </row>
    <row r="440" spans="1:6" s="1" customFormat="1" ht="45.75" customHeight="1">
      <c r="A440" s="42" t="s">
        <v>593</v>
      </c>
      <c r="B440" s="39" t="s">
        <v>12</v>
      </c>
      <c r="C440" s="39" t="s">
        <v>322</v>
      </c>
      <c r="D440" s="39"/>
      <c r="E440" s="40">
        <f>E441</f>
        <v>0</v>
      </c>
      <c r="F440" s="57"/>
    </row>
    <row r="441" spans="1:6" s="1" customFormat="1" ht="31.5" customHeight="1">
      <c r="A441" s="36" t="s">
        <v>339</v>
      </c>
      <c r="B441" s="39" t="s">
        <v>12</v>
      </c>
      <c r="C441" s="39" t="s">
        <v>322</v>
      </c>
      <c r="D441" s="39" t="s">
        <v>338</v>
      </c>
      <c r="E441" s="40">
        <f>E442</f>
        <v>0</v>
      </c>
      <c r="F441" s="57"/>
    </row>
    <row r="442" spans="1:6" s="1" customFormat="1" ht="18.75" customHeight="1">
      <c r="A442" s="42" t="s">
        <v>337</v>
      </c>
      <c r="B442" s="39" t="s">
        <v>12</v>
      </c>
      <c r="C442" s="39" t="s">
        <v>322</v>
      </c>
      <c r="D442" s="39" t="s">
        <v>336</v>
      </c>
      <c r="E442" s="40"/>
      <c r="F442" s="57"/>
    </row>
    <row r="443" spans="1:6" s="1" customFormat="1" ht="62.25" customHeight="1">
      <c r="A443" s="42" t="s">
        <v>686</v>
      </c>
      <c r="B443" s="10" t="s">
        <v>12</v>
      </c>
      <c r="C443" s="39" t="s">
        <v>685</v>
      </c>
      <c r="D443" s="47"/>
      <c r="E443" s="50">
        <f>E444</f>
        <v>0</v>
      </c>
      <c r="F443" s="57"/>
    </row>
    <row r="444" spans="1:6" s="1" customFormat="1" ht="31.5" customHeight="1">
      <c r="A444" s="36" t="s">
        <v>339</v>
      </c>
      <c r="B444" s="39" t="s">
        <v>12</v>
      </c>
      <c r="C444" s="39" t="s">
        <v>685</v>
      </c>
      <c r="D444" s="39" t="s">
        <v>338</v>
      </c>
      <c r="E444" s="40">
        <f>E445</f>
        <v>0</v>
      </c>
      <c r="F444" s="57"/>
    </row>
    <row r="445" spans="1:6" s="1" customFormat="1" ht="21" customHeight="1">
      <c r="A445" s="42" t="s">
        <v>337</v>
      </c>
      <c r="B445" s="39" t="s">
        <v>12</v>
      </c>
      <c r="C445" s="39" t="s">
        <v>685</v>
      </c>
      <c r="D445" s="39" t="s">
        <v>336</v>
      </c>
      <c r="E445" s="40"/>
      <c r="F445" s="57"/>
    </row>
    <row r="446" spans="1:6" s="1" customFormat="1" ht="91.5" customHeight="1">
      <c r="A446" s="43" t="s">
        <v>561</v>
      </c>
      <c r="B446" s="39" t="s">
        <v>12</v>
      </c>
      <c r="C446" s="10" t="s">
        <v>562</v>
      </c>
      <c r="D446" s="10"/>
      <c r="E446" s="40">
        <f>E447</f>
        <v>0</v>
      </c>
      <c r="F446" s="57"/>
    </row>
    <row r="447" spans="1:6" s="1" customFormat="1" ht="28.5" customHeight="1">
      <c r="A447" s="36" t="s">
        <v>339</v>
      </c>
      <c r="B447" s="39" t="s">
        <v>12</v>
      </c>
      <c r="C447" s="10" t="s">
        <v>562</v>
      </c>
      <c r="D447" s="10" t="s">
        <v>338</v>
      </c>
      <c r="E447" s="40">
        <f>E448</f>
        <v>0</v>
      </c>
      <c r="F447" s="57"/>
    </row>
    <row r="448" spans="1:6" s="1" customFormat="1" ht="24" customHeight="1">
      <c r="A448" s="42" t="s">
        <v>337</v>
      </c>
      <c r="B448" s="39" t="s">
        <v>12</v>
      </c>
      <c r="C448" s="10" t="s">
        <v>562</v>
      </c>
      <c r="D448" s="10" t="s">
        <v>336</v>
      </c>
      <c r="E448" s="40"/>
      <c r="F448" s="57"/>
    </row>
    <row r="449" spans="1:6" s="1" customFormat="1" ht="59.25" customHeight="1">
      <c r="A449" s="42" t="s">
        <v>563</v>
      </c>
      <c r="B449" s="39" t="s">
        <v>12</v>
      </c>
      <c r="C449" s="39" t="s">
        <v>564</v>
      </c>
      <c r="D449" s="39"/>
      <c r="E449" s="40">
        <f>E450</f>
        <v>0</v>
      </c>
      <c r="F449" s="57"/>
    </row>
    <row r="450" spans="1:6" s="1" customFormat="1" ht="27.75" customHeight="1">
      <c r="A450" s="60" t="s">
        <v>339</v>
      </c>
      <c r="B450" s="39" t="s">
        <v>12</v>
      </c>
      <c r="C450" s="39" t="s">
        <v>564</v>
      </c>
      <c r="D450" s="47" t="s">
        <v>338</v>
      </c>
      <c r="E450" s="50">
        <f>E451</f>
        <v>0</v>
      </c>
      <c r="F450" s="57"/>
    </row>
    <row r="451" spans="1:6" s="1" customFormat="1" ht="24" customHeight="1">
      <c r="A451" s="58" t="s">
        <v>337</v>
      </c>
      <c r="B451" s="39" t="s">
        <v>12</v>
      </c>
      <c r="C451" s="39" t="s">
        <v>564</v>
      </c>
      <c r="D451" s="47" t="s">
        <v>336</v>
      </c>
      <c r="E451" s="50"/>
      <c r="F451" s="57"/>
    </row>
    <row r="452" spans="1:6" s="1" customFormat="1" ht="108.75" customHeight="1">
      <c r="A452" s="58" t="s">
        <v>565</v>
      </c>
      <c r="B452" s="39" t="s">
        <v>12</v>
      </c>
      <c r="C452" s="39" t="s">
        <v>566</v>
      </c>
      <c r="D452" s="39"/>
      <c r="E452" s="40">
        <f>E453</f>
        <v>0</v>
      </c>
      <c r="F452" s="57"/>
    </row>
    <row r="453" spans="1:6" s="1" customFormat="1" ht="30.75" customHeight="1">
      <c r="A453" s="60" t="s">
        <v>339</v>
      </c>
      <c r="B453" s="39" t="s">
        <v>12</v>
      </c>
      <c r="C453" s="39" t="s">
        <v>566</v>
      </c>
      <c r="D453" s="39" t="s">
        <v>338</v>
      </c>
      <c r="E453" s="40">
        <f>E454</f>
        <v>0</v>
      </c>
      <c r="F453" s="57"/>
    </row>
    <row r="454" spans="1:6" s="1" customFormat="1" ht="24" customHeight="1">
      <c r="A454" s="58" t="s">
        <v>337</v>
      </c>
      <c r="B454" s="39" t="s">
        <v>12</v>
      </c>
      <c r="C454" s="39" t="s">
        <v>566</v>
      </c>
      <c r="D454" s="39" t="s">
        <v>336</v>
      </c>
      <c r="E454" s="40"/>
      <c r="F454" s="57"/>
    </row>
    <row r="455" spans="1:6" s="1" customFormat="1" ht="107.25" customHeight="1">
      <c r="A455" s="58" t="s">
        <v>650</v>
      </c>
      <c r="B455" s="39" t="s">
        <v>12</v>
      </c>
      <c r="C455" s="39" t="s">
        <v>566</v>
      </c>
      <c r="D455" s="10"/>
      <c r="E455" s="40">
        <f>E456</f>
        <v>0</v>
      </c>
      <c r="F455" s="57"/>
    </row>
    <row r="456" spans="1:6" s="1" customFormat="1" ht="32.25" customHeight="1">
      <c r="A456" s="60" t="s">
        <v>339</v>
      </c>
      <c r="B456" s="39" t="s">
        <v>12</v>
      </c>
      <c r="C456" s="39" t="s">
        <v>566</v>
      </c>
      <c r="D456" s="10" t="s">
        <v>338</v>
      </c>
      <c r="E456" s="40">
        <f>E457</f>
        <v>0</v>
      </c>
      <c r="F456" s="57"/>
    </row>
    <row r="457" spans="1:6" s="1" customFormat="1" ht="24" customHeight="1">
      <c r="A457" s="58" t="s">
        <v>337</v>
      </c>
      <c r="B457" s="39" t="s">
        <v>12</v>
      </c>
      <c r="C457" s="39" t="s">
        <v>566</v>
      </c>
      <c r="D457" s="10" t="s">
        <v>336</v>
      </c>
      <c r="E457" s="40"/>
      <c r="F457" s="57"/>
    </row>
    <row r="458" spans="1:6" s="1" customFormat="1" ht="134.25" customHeight="1">
      <c r="A458" s="58" t="s">
        <v>654</v>
      </c>
      <c r="B458" s="39" t="s">
        <v>12</v>
      </c>
      <c r="C458" s="39" t="s">
        <v>653</v>
      </c>
      <c r="D458" s="39"/>
      <c r="E458" s="40">
        <f>E459</f>
        <v>0</v>
      </c>
      <c r="F458" s="57"/>
    </row>
    <row r="459" spans="1:6" s="1" customFormat="1" ht="30.75" customHeight="1">
      <c r="A459" s="60" t="s">
        <v>339</v>
      </c>
      <c r="B459" s="39" t="s">
        <v>12</v>
      </c>
      <c r="C459" s="39" t="s">
        <v>653</v>
      </c>
      <c r="D459" s="39" t="s">
        <v>338</v>
      </c>
      <c r="E459" s="40">
        <f>E460</f>
        <v>0</v>
      </c>
      <c r="F459" s="57"/>
    </row>
    <row r="460" spans="1:6" s="1" customFormat="1" ht="24" customHeight="1">
      <c r="A460" s="58" t="s">
        <v>337</v>
      </c>
      <c r="B460" s="39" t="s">
        <v>12</v>
      </c>
      <c r="C460" s="39" t="s">
        <v>653</v>
      </c>
      <c r="D460" s="39" t="s">
        <v>336</v>
      </c>
      <c r="E460" s="40"/>
      <c r="F460" s="57"/>
    </row>
    <row r="461" spans="1:6" s="1" customFormat="1" ht="135" customHeight="1">
      <c r="A461" s="58" t="s">
        <v>652</v>
      </c>
      <c r="B461" s="39" t="s">
        <v>12</v>
      </c>
      <c r="C461" s="39" t="s">
        <v>653</v>
      </c>
      <c r="D461" s="10"/>
      <c r="E461" s="40">
        <f>E462</f>
        <v>0</v>
      </c>
      <c r="F461" s="57"/>
    </row>
    <row r="462" spans="1:6" s="1" customFormat="1" ht="29.25" customHeight="1">
      <c r="A462" s="60" t="s">
        <v>339</v>
      </c>
      <c r="B462" s="39" t="s">
        <v>12</v>
      </c>
      <c r="C462" s="39" t="s">
        <v>653</v>
      </c>
      <c r="D462" s="10" t="s">
        <v>338</v>
      </c>
      <c r="E462" s="40">
        <f>E463</f>
        <v>0</v>
      </c>
      <c r="F462" s="57"/>
    </row>
    <row r="463" spans="1:6" s="1" customFormat="1" ht="24" customHeight="1">
      <c r="A463" s="58" t="s">
        <v>337</v>
      </c>
      <c r="B463" s="39" t="s">
        <v>12</v>
      </c>
      <c r="C463" s="39" t="s">
        <v>653</v>
      </c>
      <c r="D463" s="10" t="s">
        <v>336</v>
      </c>
      <c r="E463" s="40"/>
      <c r="F463" s="57"/>
    </row>
    <row r="464" spans="1:6" s="1" customFormat="1" ht="60.75" customHeight="1">
      <c r="A464" s="42" t="s">
        <v>589</v>
      </c>
      <c r="B464" s="39" t="s">
        <v>12</v>
      </c>
      <c r="C464" s="10" t="s">
        <v>590</v>
      </c>
      <c r="D464" s="10"/>
      <c r="E464" s="40">
        <f>E465</f>
        <v>0</v>
      </c>
      <c r="F464" s="57"/>
    </row>
    <row r="465" spans="1:6" s="1" customFormat="1" ht="34.5" customHeight="1">
      <c r="A465" s="60" t="s">
        <v>651</v>
      </c>
      <c r="B465" s="39" t="s">
        <v>12</v>
      </c>
      <c r="C465" s="10" t="s">
        <v>590</v>
      </c>
      <c r="D465" s="10" t="s">
        <v>338</v>
      </c>
      <c r="E465" s="40">
        <f>E466</f>
        <v>0</v>
      </c>
      <c r="F465" s="57"/>
    </row>
    <row r="466" spans="1:6" s="1" customFormat="1" ht="24" customHeight="1">
      <c r="A466" s="58" t="s">
        <v>337</v>
      </c>
      <c r="B466" s="39" t="s">
        <v>12</v>
      </c>
      <c r="C466" s="10" t="s">
        <v>590</v>
      </c>
      <c r="D466" s="10" t="s">
        <v>336</v>
      </c>
      <c r="E466" s="40"/>
      <c r="F466" s="57"/>
    </row>
    <row r="467" spans="1:6" s="1" customFormat="1" ht="32.25" customHeight="1">
      <c r="A467" s="46" t="s">
        <v>482</v>
      </c>
      <c r="B467" s="39" t="s">
        <v>12</v>
      </c>
      <c r="C467" s="10" t="s">
        <v>449</v>
      </c>
      <c r="D467" s="10"/>
      <c r="E467" s="53">
        <f>E468</f>
        <v>0</v>
      </c>
      <c r="F467" s="57"/>
    </row>
    <row r="468" spans="1:6" s="1" customFormat="1" ht="21" customHeight="1">
      <c r="A468" s="46" t="s">
        <v>472</v>
      </c>
      <c r="B468" s="39" t="s">
        <v>12</v>
      </c>
      <c r="C468" s="10" t="s">
        <v>473</v>
      </c>
      <c r="D468" s="10"/>
      <c r="E468" s="53">
        <f>E469+E472+E475</f>
        <v>0</v>
      </c>
      <c r="F468" s="57"/>
    </row>
    <row r="469" spans="1:6" s="1" customFormat="1" ht="90.75" customHeight="1">
      <c r="A469" s="58" t="s">
        <v>655</v>
      </c>
      <c r="B469" s="39" t="s">
        <v>12</v>
      </c>
      <c r="C469" s="10" t="s">
        <v>567</v>
      </c>
      <c r="D469" s="48"/>
      <c r="E469" s="50">
        <f>E470</f>
        <v>0</v>
      </c>
      <c r="F469" s="57"/>
    </row>
    <row r="470" spans="1:6" s="1" customFormat="1" ht="33.75" customHeight="1">
      <c r="A470" s="60" t="s">
        <v>339</v>
      </c>
      <c r="B470" s="39" t="s">
        <v>12</v>
      </c>
      <c r="C470" s="10" t="s">
        <v>567</v>
      </c>
      <c r="D470" s="48" t="s">
        <v>338</v>
      </c>
      <c r="E470" s="50">
        <f>E471</f>
        <v>0</v>
      </c>
      <c r="F470" s="57"/>
    </row>
    <row r="471" spans="1:6" s="1" customFormat="1" ht="24" customHeight="1">
      <c r="A471" s="58" t="s">
        <v>337</v>
      </c>
      <c r="B471" s="39" t="s">
        <v>12</v>
      </c>
      <c r="C471" s="10" t="s">
        <v>567</v>
      </c>
      <c r="D471" s="48" t="s">
        <v>336</v>
      </c>
      <c r="E471" s="50"/>
      <c r="F471" s="57"/>
    </row>
    <row r="472" spans="1:6" s="1" customFormat="1" ht="91.5" customHeight="1">
      <c r="A472" s="58" t="s">
        <v>699</v>
      </c>
      <c r="B472" s="39" t="s">
        <v>12</v>
      </c>
      <c r="C472" s="10" t="s">
        <v>700</v>
      </c>
      <c r="D472" s="48"/>
      <c r="E472" s="50">
        <f>E473</f>
        <v>0</v>
      </c>
      <c r="F472" s="57"/>
    </row>
    <row r="473" spans="1:6" s="1" customFormat="1" ht="29.25" customHeight="1">
      <c r="A473" s="60" t="s">
        <v>339</v>
      </c>
      <c r="B473" s="39" t="s">
        <v>12</v>
      </c>
      <c r="C473" s="10" t="s">
        <v>700</v>
      </c>
      <c r="D473" s="48" t="s">
        <v>338</v>
      </c>
      <c r="E473" s="50">
        <f>E474</f>
        <v>0</v>
      </c>
      <c r="F473" s="57"/>
    </row>
    <row r="474" spans="1:6" s="1" customFormat="1" ht="24" customHeight="1">
      <c r="A474" s="58" t="s">
        <v>337</v>
      </c>
      <c r="B474" s="39" t="s">
        <v>12</v>
      </c>
      <c r="C474" s="10" t="s">
        <v>700</v>
      </c>
      <c r="D474" s="48" t="s">
        <v>336</v>
      </c>
      <c r="E474" s="50"/>
      <c r="F474" s="57"/>
    </row>
    <row r="475" spans="1:6" s="1" customFormat="1" ht="90.75" customHeight="1">
      <c r="A475" s="58" t="s">
        <v>656</v>
      </c>
      <c r="B475" s="39" t="s">
        <v>12</v>
      </c>
      <c r="C475" s="10" t="s">
        <v>700</v>
      </c>
      <c r="D475" s="48"/>
      <c r="E475" s="50">
        <f>E476</f>
        <v>0</v>
      </c>
      <c r="F475" s="57"/>
    </row>
    <row r="476" spans="1:6" s="1" customFormat="1" ht="28.5" customHeight="1">
      <c r="A476" s="60" t="s">
        <v>339</v>
      </c>
      <c r="B476" s="39" t="s">
        <v>12</v>
      </c>
      <c r="C476" s="10" t="s">
        <v>700</v>
      </c>
      <c r="D476" s="48" t="s">
        <v>338</v>
      </c>
      <c r="E476" s="50">
        <f>E477</f>
        <v>0</v>
      </c>
      <c r="F476" s="57"/>
    </row>
    <row r="477" spans="1:6" s="1" customFormat="1" ht="24" customHeight="1">
      <c r="A477" s="58" t="s">
        <v>337</v>
      </c>
      <c r="B477" s="39" t="s">
        <v>12</v>
      </c>
      <c r="C477" s="10" t="s">
        <v>700</v>
      </c>
      <c r="D477" s="48" t="s">
        <v>336</v>
      </c>
      <c r="E477" s="50"/>
      <c r="F477" s="57"/>
    </row>
    <row r="478" spans="1:6" s="1" customFormat="1" ht="24" customHeight="1">
      <c r="A478" s="49" t="s">
        <v>537</v>
      </c>
      <c r="B478" s="122" t="s">
        <v>538</v>
      </c>
      <c r="C478" s="10"/>
      <c r="D478" s="48"/>
      <c r="E478" s="123">
        <f>E512+E479</f>
        <v>0</v>
      </c>
      <c r="F478" s="123">
        <f>F512+F479</f>
        <v>0</v>
      </c>
    </row>
    <row r="479" spans="1:8" s="1" customFormat="1" ht="45" customHeight="1">
      <c r="A479" s="52" t="s">
        <v>271</v>
      </c>
      <c r="B479" s="37" t="s">
        <v>538</v>
      </c>
      <c r="C479" s="10" t="s">
        <v>135</v>
      </c>
      <c r="D479" s="48"/>
      <c r="E479" s="53">
        <f>E480+E487</f>
        <v>0</v>
      </c>
      <c r="F479" s="53">
        <f>F480+F487</f>
        <v>0</v>
      </c>
      <c r="H479" s="100">
        <f>E479-F479</f>
        <v>0</v>
      </c>
    </row>
    <row r="480" spans="1:6" s="1" customFormat="1" ht="20.25" customHeight="1">
      <c r="A480" s="60" t="s">
        <v>284</v>
      </c>
      <c r="B480" s="37" t="s">
        <v>538</v>
      </c>
      <c r="C480" s="10" t="s">
        <v>136</v>
      </c>
      <c r="D480" s="37"/>
      <c r="E480" s="53">
        <f>E481+E484</f>
        <v>0</v>
      </c>
      <c r="F480" s="53">
        <f>F481</f>
        <v>0</v>
      </c>
    </row>
    <row r="481" spans="1:6" s="1" customFormat="1" ht="74.25" customHeight="1">
      <c r="A481" s="36" t="s">
        <v>586</v>
      </c>
      <c r="B481" s="37" t="s">
        <v>538</v>
      </c>
      <c r="C481" s="10" t="s">
        <v>588</v>
      </c>
      <c r="D481" s="38"/>
      <c r="E481" s="57">
        <f>E482</f>
        <v>0</v>
      </c>
      <c r="F481" s="57">
        <f>F482</f>
        <v>0</v>
      </c>
    </row>
    <row r="482" spans="1:6" s="1" customFormat="1" ht="32.25" customHeight="1">
      <c r="A482" s="52" t="s">
        <v>339</v>
      </c>
      <c r="B482" s="37" t="s">
        <v>538</v>
      </c>
      <c r="C482" s="10" t="s">
        <v>588</v>
      </c>
      <c r="D482" s="38" t="s">
        <v>338</v>
      </c>
      <c r="E482" s="57">
        <f>E483</f>
        <v>0</v>
      </c>
      <c r="F482" s="57">
        <f>F483</f>
        <v>0</v>
      </c>
    </row>
    <row r="483" spans="1:6" s="1" customFormat="1" ht="24" customHeight="1">
      <c r="A483" s="52" t="s">
        <v>337</v>
      </c>
      <c r="B483" s="37" t="s">
        <v>538</v>
      </c>
      <c r="C483" s="10" t="s">
        <v>588</v>
      </c>
      <c r="D483" s="38" t="s">
        <v>336</v>
      </c>
      <c r="E483" s="40"/>
      <c r="F483" s="40">
        <f>E483</f>
        <v>0</v>
      </c>
    </row>
    <row r="484" spans="1:6" s="1" customFormat="1" ht="90" customHeight="1">
      <c r="A484" s="36" t="s">
        <v>587</v>
      </c>
      <c r="B484" s="37" t="s">
        <v>538</v>
      </c>
      <c r="C484" s="10" t="s">
        <v>588</v>
      </c>
      <c r="D484" s="38"/>
      <c r="E484" s="57">
        <f>E485</f>
        <v>0</v>
      </c>
      <c r="F484" s="57"/>
    </row>
    <row r="485" spans="1:6" s="1" customFormat="1" ht="33" customHeight="1">
      <c r="A485" s="52" t="s">
        <v>339</v>
      </c>
      <c r="B485" s="37" t="s">
        <v>538</v>
      </c>
      <c r="C485" s="10" t="s">
        <v>588</v>
      </c>
      <c r="D485" s="38" t="s">
        <v>338</v>
      </c>
      <c r="E485" s="57">
        <f>E486</f>
        <v>0</v>
      </c>
      <c r="F485" s="57"/>
    </row>
    <row r="486" spans="1:6" s="1" customFormat="1" ht="21.75" customHeight="1">
      <c r="A486" s="52" t="s">
        <v>337</v>
      </c>
      <c r="B486" s="37" t="s">
        <v>538</v>
      </c>
      <c r="C486" s="10" t="s">
        <v>588</v>
      </c>
      <c r="D486" s="38" t="s">
        <v>336</v>
      </c>
      <c r="E486" s="40"/>
      <c r="F486" s="57"/>
    </row>
    <row r="487" spans="1:6" s="1" customFormat="1" ht="24" customHeight="1">
      <c r="A487" s="36" t="s">
        <v>285</v>
      </c>
      <c r="B487" s="38" t="s">
        <v>538</v>
      </c>
      <c r="C487" s="10" t="s">
        <v>33</v>
      </c>
      <c r="D487" s="37"/>
      <c r="E487" s="53">
        <f>E488+E491+E494+E500+E497+E503+E506+E509</f>
        <v>0</v>
      </c>
      <c r="F487" s="53">
        <f>F488+F491+F494+F500+F497+F503</f>
        <v>0</v>
      </c>
    </row>
    <row r="488" spans="1:6" s="1" customFormat="1" ht="75.75" customHeight="1">
      <c r="A488" s="36" t="s">
        <v>586</v>
      </c>
      <c r="B488" s="38" t="s">
        <v>538</v>
      </c>
      <c r="C488" s="10" t="s">
        <v>731</v>
      </c>
      <c r="D488" s="38"/>
      <c r="E488" s="57">
        <f>E489</f>
        <v>0</v>
      </c>
      <c r="F488" s="57">
        <f>F489</f>
        <v>0</v>
      </c>
    </row>
    <row r="489" spans="1:6" s="1" customFormat="1" ht="33" customHeight="1">
      <c r="A489" s="52" t="s">
        <v>339</v>
      </c>
      <c r="B489" s="38" t="s">
        <v>538</v>
      </c>
      <c r="C489" s="10" t="s">
        <v>731</v>
      </c>
      <c r="D489" s="38" t="s">
        <v>338</v>
      </c>
      <c r="E489" s="57">
        <f>E490</f>
        <v>0</v>
      </c>
      <c r="F489" s="57">
        <f>F490</f>
        <v>0</v>
      </c>
    </row>
    <row r="490" spans="1:6" s="1" customFormat="1" ht="24" customHeight="1">
      <c r="A490" s="52" t="s">
        <v>337</v>
      </c>
      <c r="B490" s="38" t="s">
        <v>538</v>
      </c>
      <c r="C490" s="10" t="s">
        <v>731</v>
      </c>
      <c r="D490" s="38" t="s">
        <v>336</v>
      </c>
      <c r="E490" s="40"/>
      <c r="F490" s="40">
        <f>E490</f>
        <v>0</v>
      </c>
    </row>
    <row r="491" spans="1:6" s="1" customFormat="1" ht="91.5" customHeight="1">
      <c r="A491" s="36" t="s">
        <v>587</v>
      </c>
      <c r="B491" s="37" t="s">
        <v>538</v>
      </c>
      <c r="C491" s="10" t="s">
        <v>731</v>
      </c>
      <c r="D491" s="38"/>
      <c r="E491" s="57">
        <f>E492</f>
        <v>0</v>
      </c>
      <c r="F491" s="57"/>
    </row>
    <row r="492" spans="1:6" s="1" customFormat="1" ht="30.75" customHeight="1">
      <c r="A492" s="52" t="s">
        <v>339</v>
      </c>
      <c r="B492" s="37" t="s">
        <v>538</v>
      </c>
      <c r="C492" s="10" t="s">
        <v>731</v>
      </c>
      <c r="D492" s="38" t="s">
        <v>338</v>
      </c>
      <c r="E492" s="57">
        <f>E493</f>
        <v>0</v>
      </c>
      <c r="F492" s="57"/>
    </row>
    <row r="493" spans="1:6" s="1" customFormat="1" ht="24" customHeight="1">
      <c r="A493" s="52" t="s">
        <v>337</v>
      </c>
      <c r="B493" s="37" t="s">
        <v>538</v>
      </c>
      <c r="C493" s="10" t="s">
        <v>731</v>
      </c>
      <c r="D493" s="38" t="s">
        <v>336</v>
      </c>
      <c r="E493" s="40"/>
      <c r="F493" s="57"/>
    </row>
    <row r="494" spans="1:6" s="1" customFormat="1" ht="78" customHeight="1">
      <c r="A494" s="36" t="s">
        <v>626</v>
      </c>
      <c r="B494" s="37" t="s">
        <v>538</v>
      </c>
      <c r="C494" s="10" t="s">
        <v>730</v>
      </c>
      <c r="D494" s="38"/>
      <c r="E494" s="57">
        <f>E495</f>
        <v>0</v>
      </c>
      <c r="F494" s="57"/>
    </row>
    <row r="495" spans="1:6" s="1" customFormat="1" ht="33.75" customHeight="1">
      <c r="A495" s="52" t="s">
        <v>339</v>
      </c>
      <c r="B495" s="37" t="s">
        <v>538</v>
      </c>
      <c r="C495" s="10" t="s">
        <v>730</v>
      </c>
      <c r="D495" s="38" t="s">
        <v>338</v>
      </c>
      <c r="E495" s="57">
        <f>E496</f>
        <v>0</v>
      </c>
      <c r="F495" s="57"/>
    </row>
    <row r="496" spans="1:6" s="1" customFormat="1" ht="24" customHeight="1">
      <c r="A496" s="52" t="s">
        <v>337</v>
      </c>
      <c r="B496" s="37" t="s">
        <v>538</v>
      </c>
      <c r="C496" s="10" t="s">
        <v>730</v>
      </c>
      <c r="D496" s="38" t="s">
        <v>336</v>
      </c>
      <c r="E496" s="40"/>
      <c r="F496" s="57"/>
    </row>
    <row r="497" spans="1:6" s="1" customFormat="1" ht="45.75" customHeight="1">
      <c r="A497" s="52" t="s">
        <v>682</v>
      </c>
      <c r="B497" s="37" t="s">
        <v>538</v>
      </c>
      <c r="C497" s="10" t="s">
        <v>683</v>
      </c>
      <c r="D497" s="38"/>
      <c r="E497" s="57">
        <f>E498</f>
        <v>0</v>
      </c>
      <c r="F497" s="57">
        <f>F498</f>
        <v>0</v>
      </c>
    </row>
    <row r="498" spans="1:6" s="1" customFormat="1" ht="32.25" customHeight="1">
      <c r="A498" s="52" t="s">
        <v>339</v>
      </c>
      <c r="B498" s="37" t="s">
        <v>538</v>
      </c>
      <c r="C498" s="10" t="s">
        <v>683</v>
      </c>
      <c r="D498" s="38" t="s">
        <v>338</v>
      </c>
      <c r="E498" s="57">
        <f>E499</f>
        <v>0</v>
      </c>
      <c r="F498" s="57">
        <f>F499</f>
        <v>0</v>
      </c>
    </row>
    <row r="499" spans="1:6" s="1" customFormat="1" ht="20.25" customHeight="1">
      <c r="A499" s="52" t="s">
        <v>337</v>
      </c>
      <c r="B499" s="37" t="s">
        <v>538</v>
      </c>
      <c r="C499" s="10" t="s">
        <v>683</v>
      </c>
      <c r="D499" s="38" t="s">
        <v>336</v>
      </c>
      <c r="E499" s="40"/>
      <c r="F499" s="57"/>
    </row>
    <row r="500" spans="1:6" s="1" customFormat="1" ht="32.25" customHeight="1">
      <c r="A500" s="52" t="s">
        <v>681</v>
      </c>
      <c r="B500" s="37" t="s">
        <v>538</v>
      </c>
      <c r="C500" s="10" t="s">
        <v>688</v>
      </c>
      <c r="D500" s="38"/>
      <c r="E500" s="57">
        <f>E501</f>
        <v>0</v>
      </c>
      <c r="F500" s="57">
        <f>F501</f>
        <v>0</v>
      </c>
    </row>
    <row r="501" spans="1:6" s="1" customFormat="1" ht="31.5" customHeight="1">
      <c r="A501" s="52" t="s">
        <v>339</v>
      </c>
      <c r="B501" s="37" t="s">
        <v>538</v>
      </c>
      <c r="C501" s="10" t="s">
        <v>688</v>
      </c>
      <c r="D501" s="38" t="s">
        <v>338</v>
      </c>
      <c r="E501" s="57">
        <f>E502</f>
        <v>0</v>
      </c>
      <c r="F501" s="57">
        <f>F502</f>
        <v>0</v>
      </c>
    </row>
    <row r="502" spans="1:6" s="1" customFormat="1" ht="20.25" customHeight="1">
      <c r="A502" s="52" t="s">
        <v>337</v>
      </c>
      <c r="B502" s="37" t="s">
        <v>538</v>
      </c>
      <c r="C502" s="10" t="s">
        <v>688</v>
      </c>
      <c r="D502" s="38" t="s">
        <v>336</v>
      </c>
      <c r="E502" s="40"/>
      <c r="F502" s="57">
        <f>E502</f>
        <v>0</v>
      </c>
    </row>
    <row r="503" spans="1:6" s="1" customFormat="1" ht="50.25" customHeight="1">
      <c r="A503" s="52" t="s">
        <v>684</v>
      </c>
      <c r="B503" s="37" t="s">
        <v>538</v>
      </c>
      <c r="C503" s="10" t="s">
        <v>689</v>
      </c>
      <c r="D503" s="38"/>
      <c r="E503" s="57">
        <f>E504</f>
        <v>0</v>
      </c>
      <c r="F503" s="57">
        <f>F504</f>
        <v>0</v>
      </c>
    </row>
    <row r="504" spans="1:6" s="1" customFormat="1" ht="32.25" customHeight="1">
      <c r="A504" s="52" t="s">
        <v>339</v>
      </c>
      <c r="B504" s="37" t="s">
        <v>538</v>
      </c>
      <c r="C504" s="10" t="s">
        <v>689</v>
      </c>
      <c r="D504" s="38" t="s">
        <v>338</v>
      </c>
      <c r="E504" s="57">
        <f>E505</f>
        <v>0</v>
      </c>
      <c r="F504" s="57">
        <f>F505</f>
        <v>0</v>
      </c>
    </row>
    <row r="505" spans="1:6" s="1" customFormat="1" ht="20.25" customHeight="1">
      <c r="A505" s="52" t="s">
        <v>337</v>
      </c>
      <c r="B505" s="37" t="s">
        <v>538</v>
      </c>
      <c r="C505" s="10" t="s">
        <v>689</v>
      </c>
      <c r="D505" s="38" t="s">
        <v>336</v>
      </c>
      <c r="E505" s="40"/>
      <c r="F505" s="57">
        <f>E505</f>
        <v>0</v>
      </c>
    </row>
    <row r="506" spans="1:6" s="1" customFormat="1" ht="45.75" customHeight="1">
      <c r="A506" s="52" t="s">
        <v>687</v>
      </c>
      <c r="B506" s="37" t="s">
        <v>538</v>
      </c>
      <c r="C506" s="10" t="s">
        <v>688</v>
      </c>
      <c r="D506" s="38"/>
      <c r="E506" s="57">
        <f>E507</f>
        <v>0</v>
      </c>
      <c r="F506" s="57"/>
    </row>
    <row r="507" spans="1:6" s="1" customFormat="1" ht="30.75" customHeight="1">
      <c r="A507" s="52" t="s">
        <v>339</v>
      </c>
      <c r="B507" s="37" t="s">
        <v>538</v>
      </c>
      <c r="C507" s="10" t="s">
        <v>688</v>
      </c>
      <c r="D507" s="38" t="s">
        <v>338</v>
      </c>
      <c r="E507" s="57">
        <f>E508</f>
        <v>0</v>
      </c>
      <c r="F507" s="57"/>
    </row>
    <row r="508" spans="1:6" s="1" customFormat="1" ht="20.25" customHeight="1">
      <c r="A508" s="52" t="s">
        <v>337</v>
      </c>
      <c r="B508" s="37" t="s">
        <v>538</v>
      </c>
      <c r="C508" s="10" t="s">
        <v>688</v>
      </c>
      <c r="D508" s="38" t="s">
        <v>336</v>
      </c>
      <c r="E508" s="40"/>
      <c r="F508" s="57"/>
    </row>
    <row r="509" spans="1:6" s="1" customFormat="1" ht="55.5" customHeight="1">
      <c r="A509" s="52" t="s">
        <v>690</v>
      </c>
      <c r="B509" s="37" t="s">
        <v>538</v>
      </c>
      <c r="C509" s="10" t="s">
        <v>689</v>
      </c>
      <c r="D509" s="38"/>
      <c r="E509" s="57">
        <f>E510</f>
        <v>0</v>
      </c>
      <c r="F509" s="57"/>
    </row>
    <row r="510" spans="1:6" s="1" customFormat="1" ht="29.25" customHeight="1">
      <c r="A510" s="52" t="s">
        <v>339</v>
      </c>
      <c r="B510" s="37" t="s">
        <v>538</v>
      </c>
      <c r="C510" s="10" t="s">
        <v>689</v>
      </c>
      <c r="D510" s="38" t="s">
        <v>338</v>
      </c>
      <c r="E510" s="57">
        <f>E511</f>
        <v>0</v>
      </c>
      <c r="F510" s="57"/>
    </row>
    <row r="511" spans="1:6" s="1" customFormat="1" ht="20.25" customHeight="1">
      <c r="A511" s="52" t="s">
        <v>337</v>
      </c>
      <c r="B511" s="37" t="s">
        <v>538</v>
      </c>
      <c r="C511" s="10" t="s">
        <v>689</v>
      </c>
      <c r="D511" s="38" t="s">
        <v>336</v>
      </c>
      <c r="E511" s="40"/>
      <c r="F511" s="57"/>
    </row>
    <row r="512" spans="1:6" s="1" customFormat="1" ht="75" customHeight="1">
      <c r="A512" s="36" t="s">
        <v>265</v>
      </c>
      <c r="B512" s="39" t="s">
        <v>538</v>
      </c>
      <c r="C512" s="37" t="s">
        <v>241</v>
      </c>
      <c r="D512" s="63"/>
      <c r="E512" s="57">
        <f>E513+E516</f>
        <v>0</v>
      </c>
      <c r="F512" s="57">
        <f aca="true" t="shared" si="2" ref="E512:F514">F513</f>
        <v>0</v>
      </c>
    </row>
    <row r="513" spans="1:6" s="1" customFormat="1" ht="45" customHeight="1">
      <c r="A513" s="46" t="s">
        <v>539</v>
      </c>
      <c r="B513" s="39" t="s">
        <v>538</v>
      </c>
      <c r="C513" s="10" t="s">
        <v>591</v>
      </c>
      <c r="D513" s="48"/>
      <c r="E513" s="57">
        <f t="shared" si="2"/>
        <v>0</v>
      </c>
      <c r="F513" s="57">
        <f t="shared" si="2"/>
        <v>0</v>
      </c>
    </row>
    <row r="514" spans="1:6" s="1" customFormat="1" ht="21" customHeight="1">
      <c r="A514" s="46" t="s">
        <v>174</v>
      </c>
      <c r="B514" s="39" t="s">
        <v>538</v>
      </c>
      <c r="C514" s="10" t="s">
        <v>591</v>
      </c>
      <c r="D514" s="48" t="s">
        <v>173</v>
      </c>
      <c r="E514" s="57">
        <f t="shared" si="2"/>
        <v>0</v>
      </c>
      <c r="F514" s="57">
        <f t="shared" si="2"/>
        <v>0</v>
      </c>
    </row>
    <row r="515" spans="1:6" s="1" customFormat="1" ht="32.25" customHeight="1">
      <c r="A515" s="58" t="s">
        <v>176</v>
      </c>
      <c r="B515" s="39" t="s">
        <v>538</v>
      </c>
      <c r="C515" s="10" t="s">
        <v>591</v>
      </c>
      <c r="D515" s="48" t="s">
        <v>175</v>
      </c>
      <c r="E515" s="40"/>
      <c r="F515" s="40">
        <f>E515</f>
        <v>0</v>
      </c>
    </row>
    <row r="516" spans="1:6" s="1" customFormat="1" ht="45" customHeight="1">
      <c r="A516" s="46" t="s">
        <v>541</v>
      </c>
      <c r="B516" s="39" t="s">
        <v>538</v>
      </c>
      <c r="C516" s="10" t="s">
        <v>591</v>
      </c>
      <c r="D516" s="48"/>
      <c r="E516" s="57">
        <f>E517</f>
        <v>0</v>
      </c>
      <c r="F516" s="57">
        <f>F517</f>
        <v>0</v>
      </c>
    </row>
    <row r="517" spans="1:6" s="1" customFormat="1" ht="24.75" customHeight="1">
      <c r="A517" s="46" t="s">
        <v>174</v>
      </c>
      <c r="B517" s="39" t="s">
        <v>538</v>
      </c>
      <c r="C517" s="10" t="s">
        <v>591</v>
      </c>
      <c r="D517" s="48" t="s">
        <v>173</v>
      </c>
      <c r="E517" s="57">
        <f>E518</f>
        <v>0</v>
      </c>
      <c r="F517" s="57">
        <f>F518</f>
        <v>0</v>
      </c>
    </row>
    <row r="518" spans="1:6" s="1" customFormat="1" ht="32.25" customHeight="1">
      <c r="A518" s="58" t="s">
        <v>176</v>
      </c>
      <c r="B518" s="39" t="s">
        <v>538</v>
      </c>
      <c r="C518" s="10" t="s">
        <v>591</v>
      </c>
      <c r="D518" s="48" t="s">
        <v>175</v>
      </c>
      <c r="E518" s="40"/>
      <c r="F518" s="40">
        <v>0</v>
      </c>
    </row>
    <row r="519" spans="1:6" s="1" customFormat="1" ht="18" customHeight="1">
      <c r="A519" s="49" t="s">
        <v>132</v>
      </c>
      <c r="B519" s="62" t="s">
        <v>147</v>
      </c>
      <c r="C519" s="62"/>
      <c r="D519" s="62"/>
      <c r="E519" s="12">
        <f>E524+E552+E565+E576+E520</f>
        <v>-2125.6</v>
      </c>
      <c r="F519" s="12">
        <f>F524+F552+F565</f>
        <v>0</v>
      </c>
    </row>
    <row r="520" spans="1:6" s="1" customFormat="1" ht="75" customHeight="1">
      <c r="A520" s="36" t="s">
        <v>269</v>
      </c>
      <c r="B520" s="39" t="s">
        <v>147</v>
      </c>
      <c r="C520" s="39" t="s">
        <v>36</v>
      </c>
      <c r="D520" s="62"/>
      <c r="E520" s="57">
        <f>E521</f>
        <v>0</v>
      </c>
      <c r="F520" s="12"/>
    </row>
    <row r="521" spans="1:6" s="1" customFormat="1" ht="75.75" customHeight="1">
      <c r="A521" s="36" t="s">
        <v>486</v>
      </c>
      <c r="B521" s="39" t="s">
        <v>147</v>
      </c>
      <c r="C521" s="39" t="s">
        <v>37</v>
      </c>
      <c r="D521" s="62"/>
      <c r="E521" s="57">
        <f>E522</f>
        <v>0</v>
      </c>
      <c r="F521" s="12"/>
    </row>
    <row r="522" spans="1:6" s="1" customFormat="1" ht="19.5" customHeight="1">
      <c r="A522" s="46" t="s">
        <v>174</v>
      </c>
      <c r="B522" s="10" t="s">
        <v>147</v>
      </c>
      <c r="C522" s="39" t="s">
        <v>37</v>
      </c>
      <c r="D522" s="10" t="s">
        <v>173</v>
      </c>
      <c r="E522" s="57">
        <f>E523</f>
        <v>0</v>
      </c>
      <c r="F522" s="57"/>
    </row>
    <row r="523" spans="1:6" s="1" customFormat="1" ht="29.25" customHeight="1">
      <c r="A523" s="58" t="s">
        <v>176</v>
      </c>
      <c r="B523" s="39" t="s">
        <v>147</v>
      </c>
      <c r="C523" s="39" t="s">
        <v>37</v>
      </c>
      <c r="D523" s="39" t="s">
        <v>175</v>
      </c>
      <c r="E523" s="40"/>
      <c r="F523" s="40"/>
    </row>
    <row r="524" spans="1:6" s="1" customFormat="1" ht="46.5" customHeight="1">
      <c r="A524" s="46" t="s">
        <v>243</v>
      </c>
      <c r="B524" s="10" t="s">
        <v>147</v>
      </c>
      <c r="C524" s="48" t="s">
        <v>182</v>
      </c>
      <c r="D524" s="10"/>
      <c r="E524" s="57">
        <f>E525+E536+E533+E543+E539+E549+E546</f>
        <v>0</v>
      </c>
      <c r="F524" s="57"/>
    </row>
    <row r="525" spans="1:6" s="1" customFormat="1" ht="30" customHeight="1">
      <c r="A525" s="51" t="s">
        <v>340</v>
      </c>
      <c r="B525" s="39" t="s">
        <v>147</v>
      </c>
      <c r="C525" s="47" t="s">
        <v>183</v>
      </c>
      <c r="D525" s="39"/>
      <c r="E525" s="40">
        <f>E526</f>
        <v>0</v>
      </c>
      <c r="F525" s="40"/>
    </row>
    <row r="526" spans="1:6" s="1" customFormat="1" ht="32.25" customHeight="1">
      <c r="A526" s="55" t="s">
        <v>485</v>
      </c>
      <c r="B526" s="39" t="s">
        <v>147</v>
      </c>
      <c r="C526" s="47" t="s">
        <v>183</v>
      </c>
      <c r="D526" s="10"/>
      <c r="E526" s="40">
        <f>E528+E530+E532</f>
        <v>0</v>
      </c>
      <c r="F526" s="57"/>
    </row>
    <row r="527" spans="1:6" s="1" customFormat="1" ht="60.75" customHeight="1">
      <c r="A527" s="43" t="s">
        <v>331</v>
      </c>
      <c r="B527" s="10" t="s">
        <v>147</v>
      </c>
      <c r="C527" s="47" t="s">
        <v>183</v>
      </c>
      <c r="D527" s="10" t="s">
        <v>179</v>
      </c>
      <c r="E527" s="57">
        <f>E528</f>
        <v>0</v>
      </c>
      <c r="F527" s="57"/>
    </row>
    <row r="528" spans="1:6" s="1" customFormat="1" ht="18" customHeight="1">
      <c r="A528" s="42" t="s">
        <v>333</v>
      </c>
      <c r="B528" s="39" t="s">
        <v>147</v>
      </c>
      <c r="C528" s="47" t="s">
        <v>183</v>
      </c>
      <c r="D528" s="39" t="s">
        <v>332</v>
      </c>
      <c r="E528" s="40"/>
      <c r="F528" s="40"/>
    </row>
    <row r="529" spans="1:6" s="1" customFormat="1" ht="18.75" customHeight="1">
      <c r="A529" s="46" t="s">
        <v>174</v>
      </c>
      <c r="B529" s="10" t="s">
        <v>147</v>
      </c>
      <c r="C529" s="47" t="s">
        <v>183</v>
      </c>
      <c r="D529" s="10" t="s">
        <v>173</v>
      </c>
      <c r="E529" s="57">
        <f>E530</f>
        <v>0</v>
      </c>
      <c r="F529" s="57"/>
    </row>
    <row r="530" spans="1:6" s="1" customFormat="1" ht="30" customHeight="1">
      <c r="A530" s="58" t="s">
        <v>176</v>
      </c>
      <c r="B530" s="39" t="s">
        <v>147</v>
      </c>
      <c r="C530" s="47" t="s">
        <v>183</v>
      </c>
      <c r="D530" s="39" t="s">
        <v>175</v>
      </c>
      <c r="E530" s="40"/>
      <c r="F530" s="40"/>
    </row>
    <row r="531" spans="1:6" s="1" customFormat="1" ht="19.5" customHeight="1">
      <c r="A531" s="46" t="s">
        <v>178</v>
      </c>
      <c r="B531" s="39" t="s">
        <v>147</v>
      </c>
      <c r="C531" s="47" t="s">
        <v>183</v>
      </c>
      <c r="D531" s="10" t="s">
        <v>177</v>
      </c>
      <c r="E531" s="57">
        <f>E532</f>
        <v>0</v>
      </c>
      <c r="F531" s="57"/>
    </row>
    <row r="532" spans="1:6" s="1" customFormat="1" ht="19.5" customHeight="1">
      <c r="A532" s="58" t="s">
        <v>335</v>
      </c>
      <c r="B532" s="39" t="s">
        <v>147</v>
      </c>
      <c r="C532" s="47" t="s">
        <v>183</v>
      </c>
      <c r="D532" s="10" t="s">
        <v>334</v>
      </c>
      <c r="E532" s="57"/>
      <c r="F532" s="57"/>
    </row>
    <row r="533" spans="1:6" s="1" customFormat="1" ht="32.25" customHeight="1">
      <c r="A533" s="58" t="s">
        <v>212</v>
      </c>
      <c r="B533" s="39" t="s">
        <v>147</v>
      </c>
      <c r="C533" s="47" t="s">
        <v>213</v>
      </c>
      <c r="D533" s="39"/>
      <c r="E533" s="40">
        <f>E534</f>
        <v>0</v>
      </c>
      <c r="F533" s="57"/>
    </row>
    <row r="534" spans="1:6" s="1" customFormat="1" ht="24.75" customHeight="1">
      <c r="A534" s="58" t="s">
        <v>174</v>
      </c>
      <c r="B534" s="39" t="s">
        <v>147</v>
      </c>
      <c r="C534" s="47" t="s">
        <v>213</v>
      </c>
      <c r="D534" s="39" t="s">
        <v>173</v>
      </c>
      <c r="E534" s="40">
        <f>E535</f>
        <v>0</v>
      </c>
      <c r="F534" s="57"/>
    </row>
    <row r="535" spans="1:6" s="1" customFormat="1" ht="31.5" customHeight="1">
      <c r="A535" s="58" t="s">
        <v>176</v>
      </c>
      <c r="B535" s="39" t="s">
        <v>147</v>
      </c>
      <c r="C535" s="47" t="s">
        <v>213</v>
      </c>
      <c r="D535" s="39" t="s">
        <v>175</v>
      </c>
      <c r="E535" s="40"/>
      <c r="F535" s="57"/>
    </row>
    <row r="536" spans="1:6" s="1" customFormat="1" ht="30" customHeight="1">
      <c r="A536" s="58" t="s">
        <v>214</v>
      </c>
      <c r="B536" s="39" t="s">
        <v>147</v>
      </c>
      <c r="C536" s="47" t="s">
        <v>184</v>
      </c>
      <c r="D536" s="39"/>
      <c r="E536" s="40">
        <f>E537</f>
        <v>0</v>
      </c>
      <c r="F536" s="57"/>
    </row>
    <row r="537" spans="1:6" s="1" customFormat="1" ht="20.25" customHeight="1">
      <c r="A537" s="58" t="s">
        <v>178</v>
      </c>
      <c r="B537" s="39" t="s">
        <v>147</v>
      </c>
      <c r="C537" s="47" t="s">
        <v>184</v>
      </c>
      <c r="D537" s="39" t="s">
        <v>177</v>
      </c>
      <c r="E537" s="40">
        <f>E538</f>
        <v>0</v>
      </c>
      <c r="F537" s="40"/>
    </row>
    <row r="538" spans="1:6" s="1" customFormat="1" ht="48.75" customHeight="1">
      <c r="A538" s="42" t="s">
        <v>294</v>
      </c>
      <c r="B538" s="39" t="s">
        <v>147</v>
      </c>
      <c r="C538" s="47" t="s">
        <v>184</v>
      </c>
      <c r="D538" s="39" t="s">
        <v>48</v>
      </c>
      <c r="E538" s="40"/>
      <c r="F538" s="40"/>
    </row>
    <row r="539" spans="1:6" s="1" customFormat="1" ht="63.75" customHeight="1">
      <c r="A539" s="42" t="s">
        <v>540</v>
      </c>
      <c r="B539" s="39" t="s">
        <v>147</v>
      </c>
      <c r="C539" s="47" t="s">
        <v>475</v>
      </c>
      <c r="D539" s="39"/>
      <c r="E539" s="40">
        <f>E540</f>
        <v>0</v>
      </c>
      <c r="F539" s="40"/>
    </row>
    <row r="540" spans="1:6" s="1" customFormat="1" ht="33" customHeight="1">
      <c r="A540" s="42" t="s">
        <v>476</v>
      </c>
      <c r="B540" s="39" t="s">
        <v>147</v>
      </c>
      <c r="C540" s="47" t="s">
        <v>475</v>
      </c>
      <c r="D540" s="39"/>
      <c r="E540" s="40">
        <f>E541</f>
        <v>0</v>
      </c>
      <c r="F540" s="40"/>
    </row>
    <row r="541" spans="1:6" s="1" customFormat="1" ht="30.75" customHeight="1">
      <c r="A541" s="60" t="s">
        <v>339</v>
      </c>
      <c r="B541" s="39" t="s">
        <v>147</v>
      </c>
      <c r="C541" s="47" t="s">
        <v>475</v>
      </c>
      <c r="D541" s="39" t="s">
        <v>338</v>
      </c>
      <c r="E541" s="40">
        <f>E542</f>
        <v>0</v>
      </c>
      <c r="F541" s="40"/>
    </row>
    <row r="542" spans="1:6" s="1" customFormat="1" ht="36" customHeight="1">
      <c r="A542" s="73" t="s">
        <v>47</v>
      </c>
      <c r="B542" s="39" t="s">
        <v>147</v>
      </c>
      <c r="C542" s="47" t="s">
        <v>475</v>
      </c>
      <c r="D542" s="39" t="s">
        <v>83</v>
      </c>
      <c r="E542" s="40"/>
      <c r="F542" s="40"/>
    </row>
    <row r="543" spans="1:6" s="1" customFormat="1" ht="45.75" customHeight="1">
      <c r="A543" s="58" t="s">
        <v>288</v>
      </c>
      <c r="B543" s="39" t="s">
        <v>147</v>
      </c>
      <c r="C543" s="47" t="s">
        <v>324</v>
      </c>
      <c r="D543" s="39"/>
      <c r="E543" s="40">
        <f>E544</f>
        <v>0</v>
      </c>
      <c r="F543" s="40"/>
    </row>
    <row r="544" spans="1:6" s="1" customFormat="1" ht="20.25" customHeight="1">
      <c r="A544" s="58" t="s">
        <v>174</v>
      </c>
      <c r="B544" s="39" t="s">
        <v>147</v>
      </c>
      <c r="C544" s="47" t="s">
        <v>324</v>
      </c>
      <c r="D544" s="39" t="s">
        <v>173</v>
      </c>
      <c r="E544" s="40">
        <f>E545</f>
        <v>0</v>
      </c>
      <c r="F544" s="40"/>
    </row>
    <row r="545" spans="1:6" s="1" customFormat="1" ht="33" customHeight="1">
      <c r="A545" s="58" t="s">
        <v>176</v>
      </c>
      <c r="B545" s="39" t="s">
        <v>147</v>
      </c>
      <c r="C545" s="47" t="s">
        <v>324</v>
      </c>
      <c r="D545" s="39" t="s">
        <v>175</v>
      </c>
      <c r="E545" s="40"/>
      <c r="F545" s="40"/>
    </row>
    <row r="546" spans="1:6" s="1" customFormat="1" ht="75.75" customHeight="1">
      <c r="A546" s="46" t="s">
        <v>554</v>
      </c>
      <c r="B546" s="39" t="s">
        <v>147</v>
      </c>
      <c r="C546" s="48" t="s">
        <v>553</v>
      </c>
      <c r="D546" s="39"/>
      <c r="E546" s="40">
        <f>E547</f>
        <v>0</v>
      </c>
      <c r="F546" s="40"/>
    </row>
    <row r="547" spans="1:6" s="1" customFormat="1" ht="33" customHeight="1">
      <c r="A547" s="60" t="s">
        <v>339</v>
      </c>
      <c r="B547" s="39" t="s">
        <v>147</v>
      </c>
      <c r="C547" s="48" t="s">
        <v>553</v>
      </c>
      <c r="D547" s="39" t="s">
        <v>338</v>
      </c>
      <c r="E547" s="40">
        <f>E548</f>
        <v>0</v>
      </c>
      <c r="F547" s="40"/>
    </row>
    <row r="548" spans="1:6" s="1" customFormat="1" ht="33" customHeight="1">
      <c r="A548" s="73" t="s">
        <v>47</v>
      </c>
      <c r="B548" s="39" t="s">
        <v>147</v>
      </c>
      <c r="C548" s="48" t="s">
        <v>553</v>
      </c>
      <c r="D548" s="39" t="s">
        <v>83</v>
      </c>
      <c r="E548" s="40"/>
      <c r="F548" s="40"/>
    </row>
    <row r="549" spans="1:6" s="1" customFormat="1" ht="107.25" customHeight="1">
      <c r="A549" s="46" t="s">
        <v>551</v>
      </c>
      <c r="B549" s="39" t="s">
        <v>147</v>
      </c>
      <c r="C549" s="48" t="s">
        <v>552</v>
      </c>
      <c r="D549" s="39"/>
      <c r="E549" s="40">
        <f>E550</f>
        <v>0</v>
      </c>
      <c r="F549" s="40"/>
    </row>
    <row r="550" spans="1:6" s="1" customFormat="1" ht="19.5" customHeight="1">
      <c r="A550" s="58" t="s">
        <v>178</v>
      </c>
      <c r="B550" s="39" t="s">
        <v>147</v>
      </c>
      <c r="C550" s="48" t="s">
        <v>552</v>
      </c>
      <c r="D550" s="39" t="s">
        <v>177</v>
      </c>
      <c r="E550" s="40">
        <f>E551</f>
        <v>0</v>
      </c>
      <c r="F550" s="40"/>
    </row>
    <row r="551" spans="1:6" s="1" customFormat="1" ht="47.25" customHeight="1">
      <c r="A551" s="42" t="s">
        <v>294</v>
      </c>
      <c r="B551" s="39" t="s">
        <v>147</v>
      </c>
      <c r="C551" s="48" t="s">
        <v>552</v>
      </c>
      <c r="D551" s="39" t="s">
        <v>48</v>
      </c>
      <c r="E551" s="40"/>
      <c r="F551" s="40"/>
    </row>
    <row r="552" spans="1:6" s="1" customFormat="1" ht="20.25" customHeight="1">
      <c r="A552" s="36" t="s">
        <v>245</v>
      </c>
      <c r="B552" s="39" t="s">
        <v>147</v>
      </c>
      <c r="C552" s="38" t="s">
        <v>20</v>
      </c>
      <c r="D552" s="39"/>
      <c r="E552" s="40">
        <f>E553</f>
        <v>0</v>
      </c>
      <c r="F552" s="40">
        <f>F553</f>
        <v>0</v>
      </c>
    </row>
    <row r="553" spans="1:6" s="1" customFormat="1" ht="23.25" customHeight="1">
      <c r="A553" s="41" t="s">
        <v>41</v>
      </c>
      <c r="B553" s="39" t="s">
        <v>147</v>
      </c>
      <c r="C553" s="39" t="s">
        <v>21</v>
      </c>
      <c r="D553" s="39"/>
      <c r="E553" s="40">
        <f>E562+E554+E557</f>
        <v>0</v>
      </c>
      <c r="F553" s="40">
        <f>F562+F554+F557</f>
        <v>0</v>
      </c>
    </row>
    <row r="554" spans="1:6" s="1" customFormat="1" ht="90" customHeight="1">
      <c r="A554" s="46" t="s">
        <v>281</v>
      </c>
      <c r="B554" s="47" t="s">
        <v>147</v>
      </c>
      <c r="C554" s="47" t="s">
        <v>428</v>
      </c>
      <c r="D554" s="47"/>
      <c r="E554" s="40">
        <f>E555</f>
        <v>0</v>
      </c>
      <c r="F554" s="40">
        <f>F555</f>
        <v>0</v>
      </c>
    </row>
    <row r="555" spans="1:6" s="1" customFormat="1" ht="60.75" customHeight="1">
      <c r="A555" s="46" t="s">
        <v>331</v>
      </c>
      <c r="B555" s="47" t="s">
        <v>147</v>
      </c>
      <c r="C555" s="47" t="s">
        <v>428</v>
      </c>
      <c r="D555" s="47" t="s">
        <v>179</v>
      </c>
      <c r="E555" s="40">
        <f>E556</f>
        <v>0</v>
      </c>
      <c r="F555" s="40">
        <f>F556</f>
        <v>0</v>
      </c>
    </row>
    <row r="556" spans="1:6" s="1" customFormat="1" ht="23.25" customHeight="1">
      <c r="A556" s="58" t="s">
        <v>172</v>
      </c>
      <c r="B556" s="47" t="s">
        <v>147</v>
      </c>
      <c r="C556" s="47" t="s">
        <v>428</v>
      </c>
      <c r="D556" s="47" t="s">
        <v>171</v>
      </c>
      <c r="E556" s="40"/>
      <c r="F556" s="40">
        <f>E556</f>
        <v>0</v>
      </c>
    </row>
    <row r="557" spans="1:6" s="1" customFormat="1" ht="183" customHeight="1">
      <c r="A557" s="46" t="s">
        <v>657</v>
      </c>
      <c r="B557" s="47" t="s">
        <v>147</v>
      </c>
      <c r="C557" s="47" t="s">
        <v>658</v>
      </c>
      <c r="D557" s="47"/>
      <c r="E557" s="40">
        <f>E558+E560</f>
        <v>0</v>
      </c>
      <c r="F557" s="40">
        <f>F558+F560</f>
        <v>0</v>
      </c>
    </row>
    <row r="558" spans="1:6" s="1" customFormat="1" ht="68.25" customHeight="1">
      <c r="A558" s="46" t="s">
        <v>331</v>
      </c>
      <c r="B558" s="47" t="s">
        <v>147</v>
      </c>
      <c r="C558" s="47" t="s">
        <v>658</v>
      </c>
      <c r="D558" s="47" t="s">
        <v>179</v>
      </c>
      <c r="E558" s="40">
        <f>E559</f>
        <v>-278.6</v>
      </c>
      <c r="F558" s="40">
        <f>F559</f>
        <v>-278.6</v>
      </c>
    </row>
    <row r="559" spans="1:6" s="1" customFormat="1" ht="23.25" customHeight="1">
      <c r="A559" s="58" t="s">
        <v>172</v>
      </c>
      <c r="B559" s="47" t="s">
        <v>147</v>
      </c>
      <c r="C559" s="47" t="s">
        <v>658</v>
      </c>
      <c r="D559" s="47" t="s">
        <v>171</v>
      </c>
      <c r="E559" s="40">
        <v>-278.6</v>
      </c>
      <c r="F559" s="40">
        <f>E559</f>
        <v>-278.6</v>
      </c>
    </row>
    <row r="560" spans="1:6" s="1" customFormat="1" ht="23.25" customHeight="1">
      <c r="A560" s="58" t="s">
        <v>174</v>
      </c>
      <c r="B560" s="47" t="s">
        <v>147</v>
      </c>
      <c r="C560" s="47" t="s">
        <v>658</v>
      </c>
      <c r="D560" s="47" t="s">
        <v>173</v>
      </c>
      <c r="E560" s="40">
        <f>E561</f>
        <v>278.6</v>
      </c>
      <c r="F560" s="40">
        <f>F561</f>
        <v>278.6</v>
      </c>
    </row>
    <row r="561" spans="1:6" s="1" customFormat="1" ht="28.5" customHeight="1">
      <c r="A561" s="58" t="s">
        <v>176</v>
      </c>
      <c r="B561" s="47" t="s">
        <v>147</v>
      </c>
      <c r="C561" s="47" t="s">
        <v>658</v>
      </c>
      <c r="D561" s="47" t="s">
        <v>175</v>
      </c>
      <c r="E561" s="40">
        <v>278.6</v>
      </c>
      <c r="F561" s="40">
        <f>E561</f>
        <v>278.6</v>
      </c>
    </row>
    <row r="562" spans="1:6" s="1" customFormat="1" ht="21.75" customHeight="1">
      <c r="A562" s="36" t="s">
        <v>260</v>
      </c>
      <c r="B562" s="39" t="s">
        <v>147</v>
      </c>
      <c r="C562" s="39" t="s">
        <v>197</v>
      </c>
      <c r="D562" s="39"/>
      <c r="E562" s="40">
        <f>E563</f>
        <v>0</v>
      </c>
      <c r="F562" s="12"/>
    </row>
    <row r="563" spans="1:6" s="1" customFormat="1" ht="33" customHeight="1">
      <c r="A563" s="36" t="s">
        <v>339</v>
      </c>
      <c r="B563" s="39" t="s">
        <v>147</v>
      </c>
      <c r="C563" s="39" t="s">
        <v>197</v>
      </c>
      <c r="D563" s="39" t="s">
        <v>338</v>
      </c>
      <c r="E563" s="40">
        <f>E564</f>
        <v>0</v>
      </c>
      <c r="F563" s="12"/>
    </row>
    <row r="564" spans="1:6" s="1" customFormat="1" ht="23.25" customHeight="1">
      <c r="A564" s="42" t="s">
        <v>337</v>
      </c>
      <c r="B564" s="10" t="s">
        <v>147</v>
      </c>
      <c r="C564" s="39" t="s">
        <v>197</v>
      </c>
      <c r="D564" s="10" t="s">
        <v>336</v>
      </c>
      <c r="E564" s="57"/>
      <c r="F564" s="12"/>
    </row>
    <row r="565" spans="1:6" s="1" customFormat="1" ht="45.75" customHeight="1">
      <c r="A565" s="46" t="s">
        <v>10</v>
      </c>
      <c r="B565" s="48" t="s">
        <v>147</v>
      </c>
      <c r="C565" s="48" t="s">
        <v>34</v>
      </c>
      <c r="D565" s="48"/>
      <c r="E565" s="53">
        <f>E566+E573</f>
        <v>0</v>
      </c>
      <c r="F565" s="53"/>
    </row>
    <row r="566" spans="1:6" s="1" customFormat="1" ht="44.25" customHeight="1">
      <c r="A566" s="36" t="s">
        <v>291</v>
      </c>
      <c r="B566" s="10" t="s">
        <v>147</v>
      </c>
      <c r="C566" s="39" t="s">
        <v>200</v>
      </c>
      <c r="D566" s="10"/>
      <c r="E566" s="57">
        <f>E567+E569+E571</f>
        <v>0</v>
      </c>
      <c r="F566" s="57"/>
    </row>
    <row r="567" spans="1:6" s="1" customFormat="1" ht="59.25" customHeight="1">
      <c r="A567" s="56" t="s">
        <v>331</v>
      </c>
      <c r="B567" s="39" t="s">
        <v>147</v>
      </c>
      <c r="C567" s="39" t="s">
        <v>200</v>
      </c>
      <c r="D567" s="39" t="s">
        <v>179</v>
      </c>
      <c r="E567" s="50">
        <f>E568</f>
        <v>0</v>
      </c>
      <c r="F567" s="40"/>
    </row>
    <row r="568" spans="1:6" s="1" customFormat="1" ht="24" customHeight="1">
      <c r="A568" s="56" t="s">
        <v>333</v>
      </c>
      <c r="B568" s="10" t="s">
        <v>147</v>
      </c>
      <c r="C568" s="39" t="s">
        <v>200</v>
      </c>
      <c r="D568" s="10" t="s">
        <v>332</v>
      </c>
      <c r="E568" s="57"/>
      <c r="F568" s="57"/>
    </row>
    <row r="569" spans="1:6" s="1" customFormat="1" ht="24.75" customHeight="1">
      <c r="A569" s="58" t="s">
        <v>174</v>
      </c>
      <c r="B569" s="39" t="s">
        <v>147</v>
      </c>
      <c r="C569" s="39" t="s">
        <v>200</v>
      </c>
      <c r="D569" s="10" t="s">
        <v>173</v>
      </c>
      <c r="E569" s="57">
        <f>E570</f>
        <v>0</v>
      </c>
      <c r="F569" s="57"/>
    </row>
    <row r="570" spans="1:6" s="1" customFormat="1" ht="31.5" customHeight="1">
      <c r="A570" s="58" t="s">
        <v>176</v>
      </c>
      <c r="B570" s="10" t="s">
        <v>147</v>
      </c>
      <c r="C570" s="39" t="s">
        <v>200</v>
      </c>
      <c r="D570" s="10" t="s">
        <v>175</v>
      </c>
      <c r="E570" s="57"/>
      <c r="F570" s="57"/>
    </row>
    <row r="571" spans="1:6" s="1" customFormat="1" ht="21" customHeight="1">
      <c r="A571" s="46" t="s">
        <v>178</v>
      </c>
      <c r="B571" s="10" t="s">
        <v>147</v>
      </c>
      <c r="C571" s="39" t="s">
        <v>200</v>
      </c>
      <c r="D571" s="10" t="s">
        <v>177</v>
      </c>
      <c r="E571" s="57">
        <f>E572</f>
        <v>0</v>
      </c>
      <c r="F571" s="57"/>
    </row>
    <row r="572" spans="1:6" s="1" customFormat="1" ht="21.75" customHeight="1">
      <c r="A572" s="58" t="s">
        <v>335</v>
      </c>
      <c r="B572" s="10" t="s">
        <v>147</v>
      </c>
      <c r="C572" s="39" t="s">
        <v>200</v>
      </c>
      <c r="D572" s="10" t="s">
        <v>334</v>
      </c>
      <c r="E572" s="57"/>
      <c r="F572" s="57"/>
    </row>
    <row r="573" spans="1:6" s="1" customFormat="1" ht="21.75" customHeight="1">
      <c r="A573" s="42" t="s">
        <v>252</v>
      </c>
      <c r="B573" s="47" t="s">
        <v>147</v>
      </c>
      <c r="C573" s="39" t="s">
        <v>253</v>
      </c>
      <c r="D573" s="121"/>
      <c r="E573" s="57">
        <f>E574</f>
        <v>0</v>
      </c>
      <c r="F573" s="57"/>
    </row>
    <row r="574" spans="1:6" s="1" customFormat="1" ht="21.75" customHeight="1">
      <c r="A574" s="58" t="s">
        <v>174</v>
      </c>
      <c r="B574" s="47" t="s">
        <v>147</v>
      </c>
      <c r="C574" s="39" t="s">
        <v>253</v>
      </c>
      <c r="D574" s="47" t="s">
        <v>173</v>
      </c>
      <c r="E574" s="57">
        <f>E575</f>
        <v>0</v>
      </c>
      <c r="F574" s="57"/>
    </row>
    <row r="575" spans="1:6" s="1" customFormat="1" ht="31.5" customHeight="1">
      <c r="A575" s="58" t="s">
        <v>176</v>
      </c>
      <c r="B575" s="47" t="s">
        <v>147</v>
      </c>
      <c r="C575" s="39" t="s">
        <v>253</v>
      </c>
      <c r="D575" s="47" t="s">
        <v>175</v>
      </c>
      <c r="E575" s="57"/>
      <c r="F575" s="57"/>
    </row>
    <row r="576" spans="1:6" s="1" customFormat="1" ht="45.75" customHeight="1">
      <c r="A576" s="58" t="s">
        <v>463</v>
      </c>
      <c r="B576" s="47" t="s">
        <v>147</v>
      </c>
      <c r="C576" s="47" t="s">
        <v>462</v>
      </c>
      <c r="D576" s="47"/>
      <c r="E576" s="57">
        <f>E577</f>
        <v>-2125.6</v>
      </c>
      <c r="F576" s="57"/>
    </row>
    <row r="577" spans="1:6" s="1" customFormat="1" ht="45.75" customHeight="1">
      <c r="A577" s="58" t="s">
        <v>488</v>
      </c>
      <c r="B577" s="47" t="s">
        <v>147</v>
      </c>
      <c r="C577" s="47" t="s">
        <v>462</v>
      </c>
      <c r="D577" s="47"/>
      <c r="E577" s="57">
        <f>E578</f>
        <v>-2125.6</v>
      </c>
      <c r="F577" s="57"/>
    </row>
    <row r="578" spans="1:6" s="1" customFormat="1" ht="31.5" customHeight="1">
      <c r="A578" s="58" t="s">
        <v>519</v>
      </c>
      <c r="B578" s="47" t="s">
        <v>147</v>
      </c>
      <c r="C578" s="47" t="s">
        <v>462</v>
      </c>
      <c r="D578" s="47"/>
      <c r="E578" s="57">
        <f>E579+E582</f>
        <v>-2125.6</v>
      </c>
      <c r="F578" s="57"/>
    </row>
    <row r="579" spans="1:6" s="1" customFormat="1" ht="32.25" customHeight="1">
      <c r="A579" s="58" t="s">
        <v>529</v>
      </c>
      <c r="B579" s="47" t="s">
        <v>147</v>
      </c>
      <c r="C579" s="47" t="s">
        <v>518</v>
      </c>
      <c r="D579" s="47"/>
      <c r="E579" s="40">
        <f>E580</f>
        <v>-2125.6</v>
      </c>
      <c r="F579" s="57"/>
    </row>
    <row r="580" spans="1:6" s="1" customFormat="1" ht="23.25" customHeight="1">
      <c r="A580" s="58" t="s">
        <v>174</v>
      </c>
      <c r="B580" s="47" t="s">
        <v>147</v>
      </c>
      <c r="C580" s="47" t="s">
        <v>518</v>
      </c>
      <c r="D580" s="47" t="s">
        <v>173</v>
      </c>
      <c r="E580" s="40">
        <f>E581</f>
        <v>-2125.6</v>
      </c>
      <c r="F580" s="57"/>
    </row>
    <row r="581" spans="1:6" s="1" customFormat="1" ht="27.75" customHeight="1">
      <c r="A581" s="58" t="s">
        <v>176</v>
      </c>
      <c r="B581" s="47" t="s">
        <v>147</v>
      </c>
      <c r="C581" s="47" t="s">
        <v>518</v>
      </c>
      <c r="D581" s="47" t="s">
        <v>175</v>
      </c>
      <c r="E581" s="40">
        <v>-2125.6</v>
      </c>
      <c r="F581" s="57"/>
    </row>
    <row r="582" spans="1:6" s="1" customFormat="1" ht="30" customHeight="1">
      <c r="A582" s="46" t="s">
        <v>510</v>
      </c>
      <c r="B582" s="47" t="s">
        <v>147</v>
      </c>
      <c r="C582" s="47" t="s">
        <v>477</v>
      </c>
      <c r="D582" s="47"/>
      <c r="E582" s="40">
        <f>E583</f>
        <v>0</v>
      </c>
      <c r="F582" s="57"/>
    </row>
    <row r="583" spans="1:6" s="1" customFormat="1" ht="22.5" customHeight="1">
      <c r="A583" s="58" t="s">
        <v>174</v>
      </c>
      <c r="B583" s="47" t="s">
        <v>147</v>
      </c>
      <c r="C583" s="47" t="s">
        <v>477</v>
      </c>
      <c r="D583" s="47" t="s">
        <v>173</v>
      </c>
      <c r="E583" s="40">
        <f>E584</f>
        <v>0</v>
      </c>
      <c r="F583" s="57"/>
    </row>
    <row r="584" spans="1:6" s="1" customFormat="1" ht="33" customHeight="1">
      <c r="A584" s="58" t="s">
        <v>176</v>
      </c>
      <c r="B584" s="47" t="s">
        <v>147</v>
      </c>
      <c r="C584" s="47" t="s">
        <v>477</v>
      </c>
      <c r="D584" s="47" t="s">
        <v>175</v>
      </c>
      <c r="E584" s="40"/>
      <c r="F584" s="57"/>
    </row>
    <row r="585" spans="1:8" s="5" customFormat="1" ht="20.25" customHeight="1">
      <c r="A585" s="22" t="s">
        <v>97</v>
      </c>
      <c r="B585" s="19" t="s">
        <v>91</v>
      </c>
      <c r="C585" s="19"/>
      <c r="D585" s="19"/>
      <c r="E585" s="20">
        <f>E698+E599+E658+E586</f>
        <v>13691.2</v>
      </c>
      <c r="F585" s="20">
        <f>F698+F599+F658+F586</f>
        <v>9772.5</v>
      </c>
      <c r="H585" s="101"/>
    </row>
    <row r="586" spans="1:8" s="5" customFormat="1" ht="20.25" customHeight="1">
      <c r="A586" s="49" t="s">
        <v>290</v>
      </c>
      <c r="B586" s="62" t="s">
        <v>289</v>
      </c>
      <c r="C586" s="16"/>
      <c r="D586" s="16"/>
      <c r="E586" s="103">
        <f>E587+E595</f>
        <v>-889</v>
      </c>
      <c r="F586" s="103">
        <f>F587</f>
        <v>275</v>
      </c>
      <c r="H586" s="101"/>
    </row>
    <row r="587" spans="1:8" s="5" customFormat="1" ht="33.75" customHeight="1">
      <c r="A587" s="46" t="s">
        <v>482</v>
      </c>
      <c r="B587" s="47" t="s">
        <v>289</v>
      </c>
      <c r="C587" s="10" t="s">
        <v>449</v>
      </c>
      <c r="D587" s="94"/>
      <c r="E587" s="95">
        <f>E588</f>
        <v>-889</v>
      </c>
      <c r="F587" s="95">
        <f>F588</f>
        <v>275</v>
      </c>
      <c r="H587" s="101"/>
    </row>
    <row r="588" spans="1:8" s="5" customFormat="1" ht="60" customHeight="1">
      <c r="A588" s="46" t="s">
        <v>468</v>
      </c>
      <c r="B588" s="47" t="s">
        <v>289</v>
      </c>
      <c r="C588" s="10" t="s">
        <v>469</v>
      </c>
      <c r="D588" s="108"/>
      <c r="E588" s="95">
        <f>E593+E590</f>
        <v>-889</v>
      </c>
      <c r="F588" s="95">
        <f>F593+F590</f>
        <v>275</v>
      </c>
      <c r="H588" s="101"/>
    </row>
    <row r="589" spans="1:8" s="5" customFormat="1" ht="72.75" customHeight="1">
      <c r="A589" s="42" t="s">
        <v>776</v>
      </c>
      <c r="B589" s="47" t="s">
        <v>289</v>
      </c>
      <c r="C589" s="10" t="s">
        <v>775</v>
      </c>
      <c r="D589" s="10"/>
      <c r="E589" s="57">
        <f>E590</f>
        <v>355.7</v>
      </c>
      <c r="F589" s="57">
        <f>F590</f>
        <v>275</v>
      </c>
      <c r="H589" s="101"/>
    </row>
    <row r="590" spans="1:8" s="5" customFormat="1" ht="18" customHeight="1">
      <c r="A590" s="58" t="s">
        <v>178</v>
      </c>
      <c r="B590" s="47" t="s">
        <v>289</v>
      </c>
      <c r="C590" s="10" t="s">
        <v>775</v>
      </c>
      <c r="D590" s="10" t="s">
        <v>177</v>
      </c>
      <c r="E590" s="57">
        <f>E591</f>
        <v>355.7</v>
      </c>
      <c r="F590" s="57">
        <f>F591</f>
        <v>275</v>
      </c>
      <c r="H590" s="101"/>
    </row>
    <row r="591" spans="1:8" s="5" customFormat="1" ht="44.25" customHeight="1">
      <c r="A591" s="42" t="s">
        <v>294</v>
      </c>
      <c r="B591" s="47" t="s">
        <v>289</v>
      </c>
      <c r="C591" s="10" t="s">
        <v>775</v>
      </c>
      <c r="D591" s="10" t="s">
        <v>48</v>
      </c>
      <c r="E591" s="57">
        <f>275+80.7</f>
        <v>355.7</v>
      </c>
      <c r="F591" s="57">
        <v>275</v>
      </c>
      <c r="H591" s="101"/>
    </row>
    <row r="592" spans="1:8" s="5" customFormat="1" ht="32.25" customHeight="1">
      <c r="A592" s="46" t="s">
        <v>292</v>
      </c>
      <c r="B592" s="47" t="s">
        <v>289</v>
      </c>
      <c r="C592" s="10" t="s">
        <v>470</v>
      </c>
      <c r="D592" s="10"/>
      <c r="E592" s="57">
        <f>E593</f>
        <v>-1244.7</v>
      </c>
      <c r="F592" s="12"/>
      <c r="H592" s="101"/>
    </row>
    <row r="593" spans="1:8" s="5" customFormat="1" ht="20.25" customHeight="1">
      <c r="A593" s="58" t="s">
        <v>178</v>
      </c>
      <c r="B593" s="47" t="s">
        <v>289</v>
      </c>
      <c r="C593" s="10" t="s">
        <v>470</v>
      </c>
      <c r="D593" s="10" t="s">
        <v>177</v>
      </c>
      <c r="E593" s="57">
        <f>E594</f>
        <v>-1244.7</v>
      </c>
      <c r="F593" s="12"/>
      <c r="H593" s="101"/>
    </row>
    <row r="594" spans="1:8" s="5" customFormat="1" ht="49.5" customHeight="1">
      <c r="A594" s="42" t="s">
        <v>294</v>
      </c>
      <c r="B594" s="47" t="s">
        <v>289</v>
      </c>
      <c r="C594" s="10" t="s">
        <v>470</v>
      </c>
      <c r="D594" s="10" t="s">
        <v>48</v>
      </c>
      <c r="E594" s="57">
        <f>-355.7-889</f>
        <v>-1244.7</v>
      </c>
      <c r="F594" s="12"/>
      <c r="H594" s="101"/>
    </row>
    <row r="595" spans="1:8" s="5" customFormat="1" ht="20.25" customHeight="1">
      <c r="A595" s="80" t="s">
        <v>247</v>
      </c>
      <c r="B595" s="47" t="s">
        <v>289</v>
      </c>
      <c r="C595" s="39" t="s">
        <v>367</v>
      </c>
      <c r="D595" s="37"/>
      <c r="E595" s="40">
        <f>E596</f>
        <v>0</v>
      </c>
      <c r="F595" s="53"/>
      <c r="H595" s="101"/>
    </row>
    <row r="596" spans="1:8" s="5" customFormat="1" ht="30.75" customHeight="1">
      <c r="A596" s="41" t="s">
        <v>708</v>
      </c>
      <c r="B596" s="47" t="s">
        <v>289</v>
      </c>
      <c r="C596" s="10" t="s">
        <v>709</v>
      </c>
      <c r="D596" s="38"/>
      <c r="E596" s="57">
        <f>E597</f>
        <v>0</v>
      </c>
      <c r="F596" s="53"/>
      <c r="H596" s="101"/>
    </row>
    <row r="597" spans="1:8" s="5" customFormat="1" ht="19.5" customHeight="1">
      <c r="A597" s="46" t="s">
        <v>174</v>
      </c>
      <c r="B597" s="47" t="s">
        <v>289</v>
      </c>
      <c r="C597" s="10" t="s">
        <v>709</v>
      </c>
      <c r="D597" s="38" t="s">
        <v>173</v>
      </c>
      <c r="E597" s="57">
        <f>E598</f>
        <v>0</v>
      </c>
      <c r="F597" s="53"/>
      <c r="H597" s="101"/>
    </row>
    <row r="598" spans="1:8" s="5" customFormat="1" ht="30.75" customHeight="1">
      <c r="A598" s="46" t="s">
        <v>176</v>
      </c>
      <c r="B598" s="47" t="s">
        <v>289</v>
      </c>
      <c r="C598" s="10" t="s">
        <v>709</v>
      </c>
      <c r="D598" s="48" t="s">
        <v>175</v>
      </c>
      <c r="E598" s="53"/>
      <c r="F598" s="53"/>
      <c r="H598" s="101"/>
    </row>
    <row r="599" spans="1:6" s="5" customFormat="1" ht="16.5" customHeight="1">
      <c r="A599" s="49" t="s">
        <v>160</v>
      </c>
      <c r="B599" s="62" t="s">
        <v>161</v>
      </c>
      <c r="C599" s="62"/>
      <c r="D599" s="62"/>
      <c r="E599" s="12">
        <f>E644+E600+E650</f>
        <v>14580.2</v>
      </c>
      <c r="F599" s="12">
        <f>F644+F600+F650</f>
        <v>9497.5</v>
      </c>
    </row>
    <row r="600" spans="1:6" s="5" customFormat="1" ht="46.5" customHeight="1">
      <c r="A600" s="43" t="s">
        <v>452</v>
      </c>
      <c r="B600" s="10" t="s">
        <v>161</v>
      </c>
      <c r="C600" s="10" t="s">
        <v>185</v>
      </c>
      <c r="D600" s="10"/>
      <c r="E600" s="57">
        <f>E601+E608+E640</f>
        <v>1404.6</v>
      </c>
      <c r="F600" s="57">
        <f>F601+F608+F640</f>
        <v>0</v>
      </c>
    </row>
    <row r="601" spans="1:6" s="5" customFormat="1" ht="19.5" customHeight="1">
      <c r="A601" s="68" t="s">
        <v>453</v>
      </c>
      <c r="B601" s="10" t="s">
        <v>161</v>
      </c>
      <c r="C601" s="10" t="s">
        <v>293</v>
      </c>
      <c r="D601" s="10"/>
      <c r="E601" s="57">
        <f>E602+E605</f>
        <v>0</v>
      </c>
      <c r="F601" s="57">
        <f>F602+F605</f>
        <v>0</v>
      </c>
    </row>
    <row r="602" spans="1:6" s="5" customFormat="1" ht="33.75" customHeight="1">
      <c r="A602" s="46" t="s">
        <v>444</v>
      </c>
      <c r="B602" s="10" t="s">
        <v>161</v>
      </c>
      <c r="C602" s="10" t="s">
        <v>740</v>
      </c>
      <c r="D602" s="10"/>
      <c r="E602" s="57">
        <f>E603</f>
        <v>0</v>
      </c>
      <c r="F602" s="57">
        <f>F603</f>
        <v>0</v>
      </c>
    </row>
    <row r="603" spans="1:6" s="5" customFormat="1" ht="31.5" customHeight="1">
      <c r="A603" s="46" t="s">
        <v>325</v>
      </c>
      <c r="B603" s="10" t="s">
        <v>161</v>
      </c>
      <c r="C603" s="10" t="s">
        <v>740</v>
      </c>
      <c r="D603" s="10" t="s">
        <v>392</v>
      </c>
      <c r="E603" s="57">
        <f>E604</f>
        <v>0</v>
      </c>
      <c r="F603" s="57">
        <f>F604</f>
        <v>0</v>
      </c>
    </row>
    <row r="604" spans="1:6" s="5" customFormat="1" ht="19.5" customHeight="1">
      <c r="A604" s="46" t="s">
        <v>393</v>
      </c>
      <c r="B604" s="10" t="s">
        <v>161</v>
      </c>
      <c r="C604" s="10" t="s">
        <v>740</v>
      </c>
      <c r="D604" s="10" t="s">
        <v>397</v>
      </c>
      <c r="E604" s="57"/>
      <c r="F604" s="57">
        <f>E604</f>
        <v>0</v>
      </c>
    </row>
    <row r="605" spans="1:6" s="5" customFormat="1" ht="45.75" customHeight="1">
      <c r="A605" s="46" t="s">
        <v>451</v>
      </c>
      <c r="B605" s="10" t="s">
        <v>161</v>
      </c>
      <c r="C605" s="10" t="s">
        <v>740</v>
      </c>
      <c r="D605" s="10"/>
      <c r="E605" s="57">
        <f>E606</f>
        <v>0</v>
      </c>
      <c r="F605" s="57"/>
    </row>
    <row r="606" spans="1:6" s="5" customFormat="1" ht="33.75" customHeight="1">
      <c r="A606" s="46" t="s">
        <v>325</v>
      </c>
      <c r="B606" s="10" t="s">
        <v>161</v>
      </c>
      <c r="C606" s="10" t="s">
        <v>740</v>
      </c>
      <c r="D606" s="10" t="s">
        <v>392</v>
      </c>
      <c r="E606" s="57">
        <f>E607</f>
        <v>0</v>
      </c>
      <c r="F606" s="57"/>
    </row>
    <row r="607" spans="1:6" s="5" customFormat="1" ht="21" customHeight="1">
      <c r="A607" s="46" t="s">
        <v>393</v>
      </c>
      <c r="B607" s="10" t="s">
        <v>161</v>
      </c>
      <c r="C607" s="10" t="s">
        <v>740</v>
      </c>
      <c r="D607" s="10" t="s">
        <v>397</v>
      </c>
      <c r="E607" s="57"/>
      <c r="F607" s="57"/>
    </row>
    <row r="608" spans="1:6" s="5" customFormat="1" ht="33.75" customHeight="1">
      <c r="A608" s="68" t="s">
        <v>454</v>
      </c>
      <c r="B608" s="10" t="s">
        <v>161</v>
      </c>
      <c r="C608" s="10" t="s">
        <v>455</v>
      </c>
      <c r="D608" s="10"/>
      <c r="E608" s="57">
        <f>E609+E625+E628+E634+E622+E631+E637</f>
        <v>1404.6</v>
      </c>
      <c r="F608" s="57">
        <f>F609+F625+F628+F634+F622</f>
        <v>0</v>
      </c>
    </row>
    <row r="609" spans="1:6" s="5" customFormat="1" ht="64.5" customHeight="1">
      <c r="A609" s="52" t="s">
        <v>752</v>
      </c>
      <c r="B609" s="10" t="s">
        <v>161</v>
      </c>
      <c r="C609" s="48" t="s">
        <v>751</v>
      </c>
      <c r="D609" s="10"/>
      <c r="E609" s="57">
        <f>E610+E613+E619+E616</f>
        <v>0</v>
      </c>
      <c r="F609" s="57">
        <f>F610+F613+F619+F616</f>
        <v>0</v>
      </c>
    </row>
    <row r="610" spans="1:6" s="5" customFormat="1" ht="108" customHeight="1">
      <c r="A610" s="52" t="s">
        <v>758</v>
      </c>
      <c r="B610" s="10" t="s">
        <v>161</v>
      </c>
      <c r="C610" s="48" t="s">
        <v>751</v>
      </c>
      <c r="D610" s="10"/>
      <c r="E610" s="57">
        <f>E611</f>
        <v>0</v>
      </c>
      <c r="F610" s="57">
        <f>F611</f>
        <v>0</v>
      </c>
    </row>
    <row r="611" spans="1:6" s="5" customFormat="1" ht="23.25" customHeight="1">
      <c r="A611" s="58" t="s">
        <v>178</v>
      </c>
      <c r="B611" s="10" t="s">
        <v>161</v>
      </c>
      <c r="C611" s="48" t="s">
        <v>751</v>
      </c>
      <c r="D611" s="48" t="s">
        <v>177</v>
      </c>
      <c r="E611" s="53">
        <f>E612</f>
        <v>0</v>
      </c>
      <c r="F611" s="53">
        <f>F612</f>
        <v>0</v>
      </c>
    </row>
    <row r="612" spans="1:6" s="5" customFormat="1" ht="53.25" customHeight="1">
      <c r="A612" s="42" t="s">
        <v>294</v>
      </c>
      <c r="B612" s="10" t="s">
        <v>161</v>
      </c>
      <c r="C612" s="48" t="s">
        <v>751</v>
      </c>
      <c r="D612" s="48" t="s">
        <v>48</v>
      </c>
      <c r="E612" s="53"/>
      <c r="F612" s="57">
        <f>E612</f>
        <v>0</v>
      </c>
    </row>
    <row r="613" spans="1:6" s="5" customFormat="1" ht="89.25" customHeight="1">
      <c r="A613" s="52" t="s">
        <v>760</v>
      </c>
      <c r="B613" s="10" t="s">
        <v>161</v>
      </c>
      <c r="C613" s="48" t="s">
        <v>751</v>
      </c>
      <c r="D613" s="10"/>
      <c r="E613" s="57">
        <f>E614</f>
        <v>0</v>
      </c>
      <c r="F613" s="57">
        <f>F614</f>
        <v>0</v>
      </c>
    </row>
    <row r="614" spans="1:6" s="5" customFormat="1" ht="24.75" customHeight="1">
      <c r="A614" s="58" t="s">
        <v>178</v>
      </c>
      <c r="B614" s="10" t="s">
        <v>161</v>
      </c>
      <c r="C614" s="48" t="s">
        <v>751</v>
      </c>
      <c r="D614" s="48" t="s">
        <v>177</v>
      </c>
      <c r="E614" s="53">
        <f>E615</f>
        <v>0</v>
      </c>
      <c r="F614" s="53">
        <f>F615</f>
        <v>0</v>
      </c>
    </row>
    <row r="615" spans="1:6" s="5" customFormat="1" ht="51.75" customHeight="1">
      <c r="A615" s="42" t="s">
        <v>294</v>
      </c>
      <c r="B615" s="10" t="s">
        <v>161</v>
      </c>
      <c r="C615" s="48" t="s">
        <v>751</v>
      </c>
      <c r="D615" s="48" t="s">
        <v>48</v>
      </c>
      <c r="E615" s="53"/>
      <c r="F615" s="57">
        <f>E615</f>
        <v>0</v>
      </c>
    </row>
    <row r="616" spans="1:6" s="5" customFormat="1" ht="107.25" customHeight="1">
      <c r="A616" s="52" t="s">
        <v>761</v>
      </c>
      <c r="B616" s="10" t="s">
        <v>161</v>
      </c>
      <c r="C616" s="48" t="s">
        <v>751</v>
      </c>
      <c r="D616" s="10"/>
      <c r="E616" s="57">
        <f>E617</f>
        <v>0</v>
      </c>
      <c r="F616" s="57">
        <f>F617</f>
        <v>0</v>
      </c>
    </row>
    <row r="617" spans="1:6" s="5" customFormat="1" ht="22.5" customHeight="1">
      <c r="A617" s="58" t="s">
        <v>178</v>
      </c>
      <c r="B617" s="10" t="s">
        <v>161</v>
      </c>
      <c r="C617" s="48" t="s">
        <v>751</v>
      </c>
      <c r="D617" s="48" t="s">
        <v>177</v>
      </c>
      <c r="E617" s="53">
        <f>E618</f>
        <v>0</v>
      </c>
      <c r="F617" s="53">
        <f>F618</f>
        <v>0</v>
      </c>
    </row>
    <row r="618" spans="1:6" s="5" customFormat="1" ht="51.75" customHeight="1">
      <c r="A618" s="42" t="s">
        <v>294</v>
      </c>
      <c r="B618" s="10" t="s">
        <v>161</v>
      </c>
      <c r="C618" s="48" t="s">
        <v>751</v>
      </c>
      <c r="D618" s="48" t="s">
        <v>48</v>
      </c>
      <c r="E618" s="53"/>
      <c r="F618" s="57">
        <f>E618</f>
        <v>0</v>
      </c>
    </row>
    <row r="619" spans="1:6" s="5" customFormat="1" ht="103.5" customHeight="1">
      <c r="A619" s="52" t="s">
        <v>759</v>
      </c>
      <c r="B619" s="10" t="s">
        <v>161</v>
      </c>
      <c r="C619" s="48" t="s">
        <v>751</v>
      </c>
      <c r="D619" s="10"/>
      <c r="E619" s="57">
        <f>E620</f>
        <v>0</v>
      </c>
      <c r="F619" s="57">
        <f>F620</f>
        <v>0</v>
      </c>
    </row>
    <row r="620" spans="1:6" s="5" customFormat="1" ht="26.25" customHeight="1">
      <c r="A620" s="58" t="s">
        <v>178</v>
      </c>
      <c r="B620" s="10" t="s">
        <v>161</v>
      </c>
      <c r="C620" s="48" t="s">
        <v>751</v>
      </c>
      <c r="D620" s="48" t="s">
        <v>177</v>
      </c>
      <c r="E620" s="53">
        <f>E621</f>
        <v>0</v>
      </c>
      <c r="F620" s="53">
        <f>F621</f>
        <v>0</v>
      </c>
    </row>
    <row r="621" spans="1:6" s="5" customFormat="1" ht="43.5" customHeight="1">
      <c r="A621" s="42" t="s">
        <v>294</v>
      </c>
      <c r="B621" s="10" t="s">
        <v>161</v>
      </c>
      <c r="C621" s="48" t="s">
        <v>751</v>
      </c>
      <c r="D621" s="48" t="s">
        <v>48</v>
      </c>
      <c r="E621" s="53"/>
      <c r="F621" s="57">
        <f>E621</f>
        <v>0</v>
      </c>
    </row>
    <row r="622" spans="1:6" s="5" customFormat="1" ht="74.25" customHeight="1">
      <c r="A622" s="43" t="s">
        <v>717</v>
      </c>
      <c r="B622" s="10" t="s">
        <v>161</v>
      </c>
      <c r="C622" s="10" t="s">
        <v>718</v>
      </c>
      <c r="D622" s="10"/>
      <c r="E622" s="57">
        <f>E623</f>
        <v>0</v>
      </c>
      <c r="F622" s="57">
        <f>F623</f>
        <v>0</v>
      </c>
    </row>
    <row r="623" spans="1:6" s="5" customFormat="1" ht="26.25" customHeight="1">
      <c r="A623" s="46" t="s">
        <v>174</v>
      </c>
      <c r="B623" s="10" t="s">
        <v>161</v>
      </c>
      <c r="C623" s="10" t="s">
        <v>718</v>
      </c>
      <c r="D623" s="10" t="s">
        <v>173</v>
      </c>
      <c r="E623" s="57">
        <f>E624</f>
        <v>0</v>
      </c>
      <c r="F623" s="57">
        <f>F624</f>
        <v>0</v>
      </c>
    </row>
    <row r="624" spans="1:6" s="5" customFormat="1" ht="36" customHeight="1">
      <c r="A624" s="46" t="s">
        <v>176</v>
      </c>
      <c r="B624" s="10" t="s">
        <v>161</v>
      </c>
      <c r="C624" s="10" t="s">
        <v>718</v>
      </c>
      <c r="D624" s="10" t="s">
        <v>175</v>
      </c>
      <c r="E624" s="57"/>
      <c r="F624" s="57"/>
    </row>
    <row r="625" spans="1:6" s="5" customFormat="1" ht="31.5" customHeight="1">
      <c r="A625" s="46" t="s">
        <v>450</v>
      </c>
      <c r="B625" s="10" t="s">
        <v>161</v>
      </c>
      <c r="C625" s="10" t="s">
        <v>457</v>
      </c>
      <c r="D625" s="10"/>
      <c r="E625" s="57">
        <f>E626</f>
        <v>0</v>
      </c>
      <c r="F625" s="57"/>
    </row>
    <row r="626" spans="1:6" s="5" customFormat="1" ht="33" customHeight="1">
      <c r="A626" s="46" t="s">
        <v>325</v>
      </c>
      <c r="B626" s="10" t="s">
        <v>161</v>
      </c>
      <c r="C626" s="10" t="s">
        <v>457</v>
      </c>
      <c r="D626" s="10" t="s">
        <v>392</v>
      </c>
      <c r="E626" s="57">
        <f>E627</f>
        <v>0</v>
      </c>
      <c r="F626" s="57"/>
    </row>
    <row r="627" spans="1:6" s="5" customFormat="1" ht="108" customHeight="1">
      <c r="A627" s="42" t="s">
        <v>7</v>
      </c>
      <c r="B627" s="10" t="s">
        <v>161</v>
      </c>
      <c r="C627" s="10" t="s">
        <v>457</v>
      </c>
      <c r="D627" s="10" t="s">
        <v>6</v>
      </c>
      <c r="E627" s="57"/>
      <c r="F627" s="57"/>
    </row>
    <row r="628" spans="1:6" s="5" customFormat="1" ht="119.25" customHeight="1">
      <c r="A628" s="36" t="s">
        <v>747</v>
      </c>
      <c r="B628" s="10" t="s">
        <v>161</v>
      </c>
      <c r="C628" s="48" t="s">
        <v>467</v>
      </c>
      <c r="D628" s="10"/>
      <c r="E628" s="57">
        <f>E629</f>
        <v>0</v>
      </c>
      <c r="F628" s="57"/>
    </row>
    <row r="629" spans="1:6" s="5" customFormat="1" ht="20.25" customHeight="1">
      <c r="A629" s="58" t="s">
        <v>178</v>
      </c>
      <c r="B629" s="10" t="s">
        <v>161</v>
      </c>
      <c r="C629" s="10" t="s">
        <v>467</v>
      </c>
      <c r="D629" s="10" t="s">
        <v>177</v>
      </c>
      <c r="E629" s="57">
        <f>E630</f>
        <v>0</v>
      </c>
      <c r="F629" s="57"/>
    </row>
    <row r="630" spans="1:6" s="5" customFormat="1" ht="51" customHeight="1">
      <c r="A630" s="42" t="s">
        <v>479</v>
      </c>
      <c r="B630" s="10" t="s">
        <v>161</v>
      </c>
      <c r="C630" s="10" t="s">
        <v>467</v>
      </c>
      <c r="D630" s="10" t="s">
        <v>478</v>
      </c>
      <c r="E630" s="57"/>
      <c r="F630" s="57"/>
    </row>
    <row r="631" spans="1:6" s="5" customFormat="1" ht="105" customHeight="1">
      <c r="A631" s="36" t="s">
        <v>720</v>
      </c>
      <c r="B631" s="10" t="s">
        <v>161</v>
      </c>
      <c r="C631" s="10" t="s">
        <v>719</v>
      </c>
      <c r="D631" s="10"/>
      <c r="E631" s="57">
        <f>E632</f>
        <v>0</v>
      </c>
      <c r="F631" s="57"/>
    </row>
    <row r="632" spans="1:6" s="5" customFormat="1" ht="24.75" customHeight="1">
      <c r="A632" s="58" t="s">
        <v>178</v>
      </c>
      <c r="B632" s="10" t="s">
        <v>161</v>
      </c>
      <c r="C632" s="10" t="s">
        <v>719</v>
      </c>
      <c r="D632" s="10" t="s">
        <v>177</v>
      </c>
      <c r="E632" s="57">
        <f>E633</f>
        <v>0</v>
      </c>
      <c r="F632" s="57"/>
    </row>
    <row r="633" spans="1:6" s="5" customFormat="1" ht="51" customHeight="1">
      <c r="A633" s="42" t="s">
        <v>479</v>
      </c>
      <c r="B633" s="10" t="s">
        <v>161</v>
      </c>
      <c r="C633" s="10" t="s">
        <v>719</v>
      </c>
      <c r="D633" s="10" t="s">
        <v>478</v>
      </c>
      <c r="E633" s="57"/>
      <c r="F633" s="57"/>
    </row>
    <row r="634" spans="1:6" s="5" customFormat="1" ht="42.75" customHeight="1">
      <c r="A634" s="42" t="s">
        <v>769</v>
      </c>
      <c r="B634" s="10" t="s">
        <v>161</v>
      </c>
      <c r="C634" s="48" t="s">
        <v>770</v>
      </c>
      <c r="D634" s="48"/>
      <c r="E634" s="57">
        <f>E635</f>
        <v>1404.6</v>
      </c>
      <c r="F634" s="57"/>
    </row>
    <row r="635" spans="1:6" s="5" customFormat="1" ht="25.5" customHeight="1">
      <c r="A635" s="42" t="s">
        <v>174</v>
      </c>
      <c r="B635" s="10" t="s">
        <v>161</v>
      </c>
      <c r="C635" s="48" t="s">
        <v>770</v>
      </c>
      <c r="D635" s="48" t="s">
        <v>173</v>
      </c>
      <c r="E635" s="57">
        <f>E636</f>
        <v>1404.6</v>
      </c>
      <c r="F635" s="57"/>
    </row>
    <row r="636" spans="1:6" s="5" customFormat="1" ht="34.5" customHeight="1">
      <c r="A636" s="42" t="s">
        <v>176</v>
      </c>
      <c r="B636" s="10" t="s">
        <v>161</v>
      </c>
      <c r="C636" s="48" t="s">
        <v>770</v>
      </c>
      <c r="D636" s="48" t="s">
        <v>175</v>
      </c>
      <c r="E636" s="57">
        <v>1404.6</v>
      </c>
      <c r="F636" s="57"/>
    </row>
    <row r="637" spans="1:6" s="5" customFormat="1" ht="108" customHeight="1">
      <c r="A637" s="58" t="s">
        <v>753</v>
      </c>
      <c r="B637" s="10" t="s">
        <v>161</v>
      </c>
      <c r="C637" s="48" t="s">
        <v>754</v>
      </c>
      <c r="D637" s="10"/>
      <c r="E637" s="57">
        <f>E638</f>
        <v>0</v>
      </c>
      <c r="F637" s="57"/>
    </row>
    <row r="638" spans="1:6" s="5" customFormat="1" ht="25.5" customHeight="1">
      <c r="A638" s="58" t="s">
        <v>178</v>
      </c>
      <c r="B638" s="10" t="s">
        <v>161</v>
      </c>
      <c r="C638" s="48" t="s">
        <v>754</v>
      </c>
      <c r="D638" s="48" t="s">
        <v>177</v>
      </c>
      <c r="E638" s="53">
        <f>E639</f>
        <v>0</v>
      </c>
      <c r="F638" s="57"/>
    </row>
    <row r="639" spans="1:6" s="5" customFormat="1" ht="47.25" customHeight="1">
      <c r="A639" s="42" t="s">
        <v>294</v>
      </c>
      <c r="B639" s="10" t="s">
        <v>161</v>
      </c>
      <c r="C639" s="48" t="s">
        <v>754</v>
      </c>
      <c r="D639" s="48" t="s">
        <v>48</v>
      </c>
      <c r="E639" s="53"/>
      <c r="F639" s="57"/>
    </row>
    <row r="640" spans="1:6" s="5" customFormat="1" ht="33" customHeight="1">
      <c r="A640" s="36" t="s">
        <v>456</v>
      </c>
      <c r="B640" s="10" t="s">
        <v>161</v>
      </c>
      <c r="C640" s="10" t="s">
        <v>458</v>
      </c>
      <c r="D640" s="10"/>
      <c r="E640" s="50">
        <f>E641</f>
        <v>0</v>
      </c>
      <c r="F640" s="50"/>
    </row>
    <row r="641" spans="1:6" s="5" customFormat="1" ht="33.75" customHeight="1">
      <c r="A641" s="58" t="s">
        <v>530</v>
      </c>
      <c r="B641" s="10" t="s">
        <v>161</v>
      </c>
      <c r="C641" s="48" t="s">
        <v>459</v>
      </c>
      <c r="D641" s="48"/>
      <c r="E641" s="53">
        <f>E642</f>
        <v>0</v>
      </c>
      <c r="F641" s="53"/>
    </row>
    <row r="642" spans="1:6" s="5" customFormat="1" ht="21.75" customHeight="1">
      <c r="A642" s="46" t="s">
        <v>174</v>
      </c>
      <c r="B642" s="10" t="s">
        <v>161</v>
      </c>
      <c r="C642" s="48" t="s">
        <v>459</v>
      </c>
      <c r="D642" s="48" t="s">
        <v>173</v>
      </c>
      <c r="E642" s="53">
        <f>E643</f>
        <v>0</v>
      </c>
      <c r="F642" s="53"/>
    </row>
    <row r="643" spans="1:6" s="5" customFormat="1" ht="31.5" customHeight="1">
      <c r="A643" s="46" t="s">
        <v>176</v>
      </c>
      <c r="B643" s="10" t="s">
        <v>161</v>
      </c>
      <c r="C643" s="48" t="s">
        <v>459</v>
      </c>
      <c r="D643" s="48" t="s">
        <v>175</v>
      </c>
      <c r="E643" s="53"/>
      <c r="F643" s="53"/>
    </row>
    <row r="644" spans="1:6" s="5" customFormat="1" ht="44.25" customHeight="1">
      <c r="A644" s="43" t="s">
        <v>218</v>
      </c>
      <c r="B644" s="10" t="s">
        <v>161</v>
      </c>
      <c r="C644" s="48" t="s">
        <v>186</v>
      </c>
      <c r="D644" s="10"/>
      <c r="E644" s="57">
        <f>E645</f>
        <v>889</v>
      </c>
      <c r="F644" s="12"/>
    </row>
    <row r="645" spans="1:6" s="5" customFormat="1" ht="48.75" customHeight="1">
      <c r="A645" s="43" t="s">
        <v>327</v>
      </c>
      <c r="B645" s="10" t="s">
        <v>161</v>
      </c>
      <c r="C645" s="48" t="s">
        <v>187</v>
      </c>
      <c r="D645" s="10"/>
      <c r="E645" s="57">
        <f>E646+E648</f>
        <v>889</v>
      </c>
      <c r="F645" s="12"/>
    </row>
    <row r="646" spans="1:6" s="5" customFormat="1" ht="18.75" customHeight="1">
      <c r="A646" s="46" t="s">
        <v>174</v>
      </c>
      <c r="B646" s="10" t="s">
        <v>161</v>
      </c>
      <c r="C646" s="48" t="s">
        <v>187</v>
      </c>
      <c r="D646" s="10" t="s">
        <v>173</v>
      </c>
      <c r="E646" s="57">
        <f>E647</f>
        <v>889</v>
      </c>
      <c r="F646" s="12"/>
    </row>
    <row r="647" spans="1:6" s="5" customFormat="1" ht="33.75" customHeight="1">
      <c r="A647" s="46" t="s">
        <v>176</v>
      </c>
      <c r="B647" s="10" t="s">
        <v>161</v>
      </c>
      <c r="C647" s="48" t="s">
        <v>187</v>
      </c>
      <c r="D647" s="10" t="s">
        <v>175</v>
      </c>
      <c r="E647" s="57">
        <f>889</f>
        <v>889</v>
      </c>
      <c r="F647" s="12"/>
    </row>
    <row r="648" spans="1:6" s="5" customFormat="1" ht="31.5" customHeight="1">
      <c r="A648" s="60" t="s">
        <v>339</v>
      </c>
      <c r="B648" s="10" t="s">
        <v>161</v>
      </c>
      <c r="C648" s="48" t="s">
        <v>187</v>
      </c>
      <c r="D648" s="10" t="s">
        <v>338</v>
      </c>
      <c r="E648" s="57">
        <f>E649</f>
        <v>0</v>
      </c>
      <c r="F648" s="12"/>
    </row>
    <row r="649" spans="1:6" s="5" customFormat="1" ht="19.5" customHeight="1">
      <c r="A649" s="58" t="s">
        <v>337</v>
      </c>
      <c r="B649" s="10" t="s">
        <v>161</v>
      </c>
      <c r="C649" s="48" t="s">
        <v>187</v>
      </c>
      <c r="D649" s="10" t="s">
        <v>336</v>
      </c>
      <c r="E649" s="57"/>
      <c r="F649" s="12"/>
    </row>
    <row r="650" spans="1:6" s="5" customFormat="1" ht="32.25" customHeight="1">
      <c r="A650" s="46" t="s">
        <v>482</v>
      </c>
      <c r="B650" s="10" t="s">
        <v>161</v>
      </c>
      <c r="C650" s="48" t="s">
        <v>449</v>
      </c>
      <c r="D650" s="10"/>
      <c r="E650" s="57">
        <f>E651+E655</f>
        <v>12286.6</v>
      </c>
      <c r="F650" s="57">
        <f>F651+F655</f>
        <v>9497.5</v>
      </c>
    </row>
    <row r="651" spans="1:6" s="5" customFormat="1" ht="20.25" customHeight="1">
      <c r="A651" s="46" t="s">
        <v>472</v>
      </c>
      <c r="B651" s="10" t="s">
        <v>161</v>
      </c>
      <c r="C651" s="47" t="s">
        <v>763</v>
      </c>
      <c r="D651" s="10"/>
      <c r="E651" s="57">
        <f aca="true" t="shared" si="3" ref="E651:F653">E652</f>
        <v>9497.5</v>
      </c>
      <c r="F651" s="57">
        <f t="shared" si="3"/>
        <v>9497.5</v>
      </c>
    </row>
    <row r="652" spans="1:6" s="5" customFormat="1" ht="22.5" customHeight="1">
      <c r="A652" s="46" t="s">
        <v>762</v>
      </c>
      <c r="B652" s="10" t="s">
        <v>161</v>
      </c>
      <c r="C652" s="47" t="s">
        <v>763</v>
      </c>
      <c r="D652" s="10"/>
      <c r="E652" s="57">
        <f t="shared" si="3"/>
        <v>9497.5</v>
      </c>
      <c r="F652" s="57">
        <f t="shared" si="3"/>
        <v>9497.5</v>
      </c>
    </row>
    <row r="653" spans="1:6" s="5" customFormat="1" ht="22.5" customHeight="1">
      <c r="A653" s="46" t="s">
        <v>174</v>
      </c>
      <c r="B653" s="10" t="s">
        <v>161</v>
      </c>
      <c r="C653" s="47" t="s">
        <v>763</v>
      </c>
      <c r="D653" s="10" t="s">
        <v>173</v>
      </c>
      <c r="E653" s="57">
        <f t="shared" si="3"/>
        <v>9497.5</v>
      </c>
      <c r="F653" s="57">
        <f t="shared" si="3"/>
        <v>9497.5</v>
      </c>
    </row>
    <row r="654" spans="1:6" s="5" customFormat="1" ht="30.75" customHeight="1">
      <c r="A654" s="46" t="s">
        <v>176</v>
      </c>
      <c r="B654" s="10" t="s">
        <v>161</v>
      </c>
      <c r="C654" s="47" t="s">
        <v>763</v>
      </c>
      <c r="D654" s="10" t="s">
        <v>175</v>
      </c>
      <c r="E654" s="57">
        <f>9497.5</f>
        <v>9497.5</v>
      </c>
      <c r="F654" s="57">
        <f>E654</f>
        <v>9497.5</v>
      </c>
    </row>
    <row r="655" spans="1:6" s="5" customFormat="1" ht="33.75" customHeight="1">
      <c r="A655" s="46" t="s">
        <v>764</v>
      </c>
      <c r="B655" s="10" t="s">
        <v>161</v>
      </c>
      <c r="C655" s="47" t="s">
        <v>763</v>
      </c>
      <c r="D655" s="39"/>
      <c r="E655" s="40">
        <f>E656</f>
        <v>2789.1</v>
      </c>
      <c r="F655" s="40"/>
    </row>
    <row r="656" spans="1:6" s="5" customFormat="1" ht="24" customHeight="1">
      <c r="A656" s="46" t="s">
        <v>174</v>
      </c>
      <c r="B656" s="10" t="s">
        <v>161</v>
      </c>
      <c r="C656" s="47" t="s">
        <v>763</v>
      </c>
      <c r="D656" s="39" t="s">
        <v>173</v>
      </c>
      <c r="E656" s="40">
        <f>E657</f>
        <v>2789.1</v>
      </c>
      <c r="F656" s="40"/>
    </row>
    <row r="657" spans="1:6" s="5" customFormat="1" ht="30.75" customHeight="1">
      <c r="A657" s="46" t="s">
        <v>176</v>
      </c>
      <c r="B657" s="10" t="s">
        <v>161</v>
      </c>
      <c r="C657" s="47" t="s">
        <v>763</v>
      </c>
      <c r="D657" s="39" t="s">
        <v>175</v>
      </c>
      <c r="E657" s="40">
        <v>2789.1</v>
      </c>
      <c r="F657" s="40">
        <v>0</v>
      </c>
    </row>
    <row r="658" spans="1:6" s="5" customFormat="1" ht="20.25" customHeight="1">
      <c r="A658" s="61" t="s">
        <v>15</v>
      </c>
      <c r="B658" s="62" t="s">
        <v>14</v>
      </c>
      <c r="C658" s="62"/>
      <c r="D658" s="62"/>
      <c r="E658" s="12">
        <f>E673+E664+E659+E668</f>
        <v>0</v>
      </c>
      <c r="F658" s="12">
        <f>F673+F664+F659</f>
        <v>0</v>
      </c>
    </row>
    <row r="659" spans="1:6" s="5" customFormat="1" ht="47.25" customHeight="1">
      <c r="A659" s="43" t="s">
        <v>452</v>
      </c>
      <c r="B659" s="47" t="s">
        <v>14</v>
      </c>
      <c r="C659" s="10" t="s">
        <v>185</v>
      </c>
      <c r="D659" s="10"/>
      <c r="E659" s="57">
        <f aca="true" t="shared" si="4" ref="E659:F662">E660</f>
        <v>0</v>
      </c>
      <c r="F659" s="57">
        <f t="shared" si="4"/>
        <v>0</v>
      </c>
    </row>
    <row r="660" spans="1:6" s="5" customFormat="1" ht="20.25" customHeight="1">
      <c r="A660" s="68" t="s">
        <v>453</v>
      </c>
      <c r="B660" s="47" t="s">
        <v>14</v>
      </c>
      <c r="C660" s="10" t="s">
        <v>293</v>
      </c>
      <c r="D660" s="10"/>
      <c r="E660" s="57">
        <f t="shared" si="4"/>
        <v>0</v>
      </c>
      <c r="F660" s="57">
        <f t="shared" si="4"/>
        <v>0</v>
      </c>
    </row>
    <row r="661" spans="1:6" s="5" customFormat="1" ht="20.25" customHeight="1">
      <c r="A661" s="52" t="s">
        <v>644</v>
      </c>
      <c r="B661" s="47" t="s">
        <v>14</v>
      </c>
      <c r="C661" s="10" t="s">
        <v>645</v>
      </c>
      <c r="D661" s="10"/>
      <c r="E661" s="57">
        <f t="shared" si="4"/>
        <v>0</v>
      </c>
      <c r="F661" s="57">
        <f t="shared" si="4"/>
        <v>0</v>
      </c>
    </row>
    <row r="662" spans="1:6" s="5" customFormat="1" ht="20.25" customHeight="1">
      <c r="A662" s="46" t="s">
        <v>174</v>
      </c>
      <c r="B662" s="47" t="s">
        <v>14</v>
      </c>
      <c r="C662" s="10" t="s">
        <v>645</v>
      </c>
      <c r="D662" s="48" t="s">
        <v>173</v>
      </c>
      <c r="E662" s="53">
        <f t="shared" si="4"/>
        <v>0</v>
      </c>
      <c r="F662" s="53">
        <f t="shared" si="4"/>
        <v>0</v>
      </c>
    </row>
    <row r="663" spans="1:6" s="5" customFormat="1" ht="33" customHeight="1">
      <c r="A663" s="58" t="s">
        <v>176</v>
      </c>
      <c r="B663" s="47" t="s">
        <v>14</v>
      </c>
      <c r="C663" s="10" t="s">
        <v>645</v>
      </c>
      <c r="D663" s="47" t="s">
        <v>175</v>
      </c>
      <c r="E663" s="53"/>
      <c r="F663" s="53"/>
    </row>
    <row r="664" spans="1:6" s="5" customFormat="1" ht="42.75" customHeight="1">
      <c r="A664" s="46" t="s">
        <v>243</v>
      </c>
      <c r="B664" s="47" t="s">
        <v>14</v>
      </c>
      <c r="C664" s="48" t="s">
        <v>182</v>
      </c>
      <c r="D664" s="48"/>
      <c r="E664" s="53">
        <f>E665</f>
        <v>0</v>
      </c>
      <c r="F664" s="53"/>
    </row>
    <row r="665" spans="1:6" s="5" customFormat="1" ht="76.5" customHeight="1">
      <c r="A665" s="46" t="s">
        <v>556</v>
      </c>
      <c r="B665" s="47" t="s">
        <v>14</v>
      </c>
      <c r="C665" s="48" t="s">
        <v>555</v>
      </c>
      <c r="D665" s="48"/>
      <c r="E665" s="53">
        <f>E666</f>
        <v>0</v>
      </c>
      <c r="F665" s="53"/>
    </row>
    <row r="666" spans="1:6" s="5" customFormat="1" ht="20.25" customHeight="1">
      <c r="A666" s="46" t="s">
        <v>174</v>
      </c>
      <c r="B666" s="47" t="s">
        <v>14</v>
      </c>
      <c r="C666" s="48" t="s">
        <v>555</v>
      </c>
      <c r="D666" s="48" t="s">
        <v>173</v>
      </c>
      <c r="E666" s="53">
        <f>E667</f>
        <v>0</v>
      </c>
      <c r="F666" s="53"/>
    </row>
    <row r="667" spans="1:6" s="5" customFormat="1" ht="29.25" customHeight="1">
      <c r="A667" s="58" t="s">
        <v>176</v>
      </c>
      <c r="B667" s="47" t="s">
        <v>14</v>
      </c>
      <c r="C667" s="48" t="s">
        <v>555</v>
      </c>
      <c r="D667" s="48" t="s">
        <v>175</v>
      </c>
      <c r="E667" s="50"/>
      <c r="F667" s="53"/>
    </row>
    <row r="668" spans="1:6" s="5" customFormat="1" ht="32.25" customHeight="1">
      <c r="A668" s="46" t="s">
        <v>482</v>
      </c>
      <c r="B668" s="47" t="s">
        <v>14</v>
      </c>
      <c r="C668" s="10" t="s">
        <v>449</v>
      </c>
      <c r="D668" s="10"/>
      <c r="E668" s="53">
        <f>E669</f>
        <v>0</v>
      </c>
      <c r="F668" s="57"/>
    </row>
    <row r="669" spans="1:6" s="5" customFormat="1" ht="19.5" customHeight="1">
      <c r="A669" s="46" t="s">
        <v>472</v>
      </c>
      <c r="B669" s="47" t="s">
        <v>14</v>
      </c>
      <c r="C669" s="10" t="s">
        <v>473</v>
      </c>
      <c r="D669" s="10"/>
      <c r="E669" s="53">
        <f>E670</f>
        <v>0</v>
      </c>
      <c r="F669" s="57"/>
    </row>
    <row r="670" spans="1:6" s="5" customFormat="1" ht="167.25" customHeight="1">
      <c r="A670" s="58" t="s">
        <v>704</v>
      </c>
      <c r="B670" s="47" t="s">
        <v>14</v>
      </c>
      <c r="C670" s="10" t="s">
        <v>703</v>
      </c>
      <c r="D670" s="48"/>
      <c r="E670" s="50">
        <f>E671</f>
        <v>0</v>
      </c>
      <c r="F670" s="57"/>
    </row>
    <row r="671" spans="1:6" s="5" customFormat="1" ht="29.25" customHeight="1">
      <c r="A671" s="60" t="s">
        <v>339</v>
      </c>
      <c r="B671" s="47" t="s">
        <v>14</v>
      </c>
      <c r="C671" s="10" t="s">
        <v>703</v>
      </c>
      <c r="D671" s="48" t="s">
        <v>338</v>
      </c>
      <c r="E671" s="50">
        <f>E672</f>
        <v>0</v>
      </c>
      <c r="F671" s="57"/>
    </row>
    <row r="672" spans="1:6" s="5" customFormat="1" ht="22.5" customHeight="1">
      <c r="A672" s="58" t="s">
        <v>337</v>
      </c>
      <c r="B672" s="47" t="s">
        <v>14</v>
      </c>
      <c r="C672" s="10" t="s">
        <v>703</v>
      </c>
      <c r="D672" s="48" t="s">
        <v>336</v>
      </c>
      <c r="E672" s="50"/>
      <c r="F672" s="57"/>
    </row>
    <row r="673" spans="1:6" s="5" customFormat="1" ht="44.25" customHeight="1">
      <c r="A673" s="43" t="s">
        <v>244</v>
      </c>
      <c r="B673" s="10" t="s">
        <v>14</v>
      </c>
      <c r="C673" s="48" t="s">
        <v>188</v>
      </c>
      <c r="D673" s="10"/>
      <c r="E673" s="57">
        <f>E674+E683+E677+E690+E680</f>
        <v>0</v>
      </c>
      <c r="F673" s="12"/>
    </row>
    <row r="674" spans="1:6" s="5" customFormat="1" ht="17.25" customHeight="1">
      <c r="A674" s="43" t="s">
        <v>201</v>
      </c>
      <c r="B674" s="10" t="s">
        <v>14</v>
      </c>
      <c r="C674" s="48" t="s">
        <v>189</v>
      </c>
      <c r="D674" s="10"/>
      <c r="E674" s="57">
        <f>E675</f>
        <v>350</v>
      </c>
      <c r="F674" s="12"/>
    </row>
    <row r="675" spans="1:6" s="5" customFormat="1" ht="20.25" customHeight="1">
      <c r="A675" s="58" t="s">
        <v>174</v>
      </c>
      <c r="B675" s="39" t="s">
        <v>14</v>
      </c>
      <c r="C675" s="48" t="s">
        <v>189</v>
      </c>
      <c r="D675" s="39" t="s">
        <v>173</v>
      </c>
      <c r="E675" s="40">
        <f>E676</f>
        <v>350</v>
      </c>
      <c r="F675" s="13"/>
    </row>
    <row r="676" spans="1:6" s="5" customFormat="1" ht="33" customHeight="1">
      <c r="A676" s="46" t="s">
        <v>176</v>
      </c>
      <c r="B676" s="10" t="s">
        <v>14</v>
      </c>
      <c r="C676" s="48" t="s">
        <v>189</v>
      </c>
      <c r="D676" s="10" t="s">
        <v>175</v>
      </c>
      <c r="E676" s="57">
        <v>350</v>
      </c>
      <c r="F676" s="12"/>
    </row>
    <row r="677" spans="1:6" s="5" customFormat="1" ht="30" customHeight="1">
      <c r="A677" s="46" t="s">
        <v>11</v>
      </c>
      <c r="B677" s="39" t="s">
        <v>14</v>
      </c>
      <c r="C677" s="47" t="s">
        <v>314</v>
      </c>
      <c r="D677" s="10"/>
      <c r="E677" s="57">
        <f>E678</f>
        <v>-425</v>
      </c>
      <c r="F677" s="13"/>
    </row>
    <row r="678" spans="1:6" s="5" customFormat="1" ht="22.5" customHeight="1">
      <c r="A678" s="46" t="s">
        <v>174</v>
      </c>
      <c r="B678" s="39" t="s">
        <v>14</v>
      </c>
      <c r="C678" s="47" t="s">
        <v>314</v>
      </c>
      <c r="D678" s="10" t="s">
        <v>173</v>
      </c>
      <c r="E678" s="57">
        <f>E679</f>
        <v>-425</v>
      </c>
      <c r="F678" s="13"/>
    </row>
    <row r="679" spans="1:6" s="5" customFormat="1" ht="33" customHeight="1">
      <c r="A679" s="46" t="s">
        <v>176</v>
      </c>
      <c r="B679" s="39" t="s">
        <v>14</v>
      </c>
      <c r="C679" s="47" t="s">
        <v>314</v>
      </c>
      <c r="D679" s="10" t="s">
        <v>175</v>
      </c>
      <c r="E679" s="57">
        <v>-425</v>
      </c>
      <c r="F679" s="13"/>
    </row>
    <row r="680" spans="1:6" s="5" customFormat="1" ht="75.75" customHeight="1">
      <c r="A680" s="46" t="s">
        <v>723</v>
      </c>
      <c r="B680" s="39" t="s">
        <v>14</v>
      </c>
      <c r="C680" s="47" t="s">
        <v>722</v>
      </c>
      <c r="D680" s="10"/>
      <c r="E680" s="57">
        <f>E681</f>
        <v>0</v>
      </c>
      <c r="F680" s="13"/>
    </row>
    <row r="681" spans="1:6" s="5" customFormat="1" ht="20.25" customHeight="1">
      <c r="A681" s="46" t="s">
        <v>174</v>
      </c>
      <c r="B681" s="39" t="s">
        <v>14</v>
      </c>
      <c r="C681" s="47" t="s">
        <v>722</v>
      </c>
      <c r="D681" s="10" t="s">
        <v>173</v>
      </c>
      <c r="E681" s="57">
        <f>E682</f>
        <v>0</v>
      </c>
      <c r="F681" s="13"/>
    </row>
    <row r="682" spans="1:6" s="5" customFormat="1" ht="33" customHeight="1">
      <c r="A682" s="46" t="s">
        <v>176</v>
      </c>
      <c r="B682" s="39" t="s">
        <v>14</v>
      </c>
      <c r="C682" s="47" t="s">
        <v>722</v>
      </c>
      <c r="D682" s="10" t="s">
        <v>175</v>
      </c>
      <c r="E682" s="57"/>
      <c r="F682" s="13"/>
    </row>
    <row r="683" spans="1:6" s="5" customFormat="1" ht="48.75" customHeight="1">
      <c r="A683" s="60" t="s">
        <v>261</v>
      </c>
      <c r="B683" s="39" t="s">
        <v>14</v>
      </c>
      <c r="C683" s="47" t="s">
        <v>219</v>
      </c>
      <c r="D683" s="39"/>
      <c r="E683" s="40">
        <f>E684+E686+E688</f>
        <v>75</v>
      </c>
      <c r="F683" s="13"/>
    </row>
    <row r="684" spans="1:6" s="5" customFormat="1" ht="61.5" customHeight="1">
      <c r="A684" s="58" t="s">
        <v>331</v>
      </c>
      <c r="B684" s="39" t="s">
        <v>14</v>
      </c>
      <c r="C684" s="47" t="s">
        <v>219</v>
      </c>
      <c r="D684" s="39" t="s">
        <v>179</v>
      </c>
      <c r="E684" s="40">
        <f>E685</f>
        <v>0</v>
      </c>
      <c r="F684" s="13"/>
    </row>
    <row r="685" spans="1:6" s="5" customFormat="1" ht="24.75" customHeight="1">
      <c r="A685" s="58" t="s">
        <v>333</v>
      </c>
      <c r="B685" s="39" t="s">
        <v>14</v>
      </c>
      <c r="C685" s="47" t="s">
        <v>219</v>
      </c>
      <c r="D685" s="39" t="s">
        <v>332</v>
      </c>
      <c r="E685" s="40"/>
      <c r="F685" s="13"/>
    </row>
    <row r="686" spans="1:6" s="5" customFormat="1" ht="29.25" customHeight="1">
      <c r="A686" s="58" t="s">
        <v>174</v>
      </c>
      <c r="B686" s="39" t="s">
        <v>14</v>
      </c>
      <c r="C686" s="47" t="s">
        <v>219</v>
      </c>
      <c r="D686" s="39" t="s">
        <v>173</v>
      </c>
      <c r="E686" s="40">
        <f>E687</f>
        <v>0</v>
      </c>
      <c r="F686" s="13"/>
    </row>
    <row r="687" spans="1:6" s="5" customFormat="1" ht="33" customHeight="1">
      <c r="A687" s="58" t="s">
        <v>176</v>
      </c>
      <c r="B687" s="39" t="s">
        <v>14</v>
      </c>
      <c r="C687" s="47" t="s">
        <v>219</v>
      </c>
      <c r="D687" s="39" t="s">
        <v>175</v>
      </c>
      <c r="E687" s="40"/>
      <c r="F687" s="13"/>
    </row>
    <row r="688" spans="1:6" s="5" customFormat="1" ht="21.75" customHeight="1">
      <c r="A688" s="58" t="s">
        <v>178</v>
      </c>
      <c r="B688" s="39" t="s">
        <v>14</v>
      </c>
      <c r="C688" s="47" t="s">
        <v>219</v>
      </c>
      <c r="D688" s="39" t="s">
        <v>177</v>
      </c>
      <c r="E688" s="40">
        <f>E689</f>
        <v>75</v>
      </c>
      <c r="F688" s="13"/>
    </row>
    <row r="689" spans="1:6" s="5" customFormat="1" ht="25.5" customHeight="1">
      <c r="A689" s="58" t="s">
        <v>335</v>
      </c>
      <c r="B689" s="39" t="s">
        <v>14</v>
      </c>
      <c r="C689" s="47" t="s">
        <v>219</v>
      </c>
      <c r="D689" s="39" t="s">
        <v>334</v>
      </c>
      <c r="E689" s="40">
        <v>75</v>
      </c>
      <c r="F689" s="13"/>
    </row>
    <row r="690" spans="1:6" s="5" customFormat="1" ht="66.75" customHeight="1">
      <c r="A690" s="60" t="s">
        <v>543</v>
      </c>
      <c r="B690" s="39" t="s">
        <v>14</v>
      </c>
      <c r="C690" s="39" t="s">
        <v>544</v>
      </c>
      <c r="D690" s="47"/>
      <c r="E690" s="50">
        <f>E691</f>
        <v>0</v>
      </c>
      <c r="F690" s="13"/>
    </row>
    <row r="691" spans="1:6" s="5" customFormat="1" ht="79.5" customHeight="1">
      <c r="A691" s="58" t="s">
        <v>546</v>
      </c>
      <c r="B691" s="39" t="s">
        <v>14</v>
      </c>
      <c r="C691" s="39" t="s">
        <v>545</v>
      </c>
      <c r="D691" s="47"/>
      <c r="E691" s="50">
        <f>E692+E694+E696</f>
        <v>0</v>
      </c>
      <c r="F691" s="13"/>
    </row>
    <row r="692" spans="1:6" s="5" customFormat="1" ht="45" customHeight="1">
      <c r="A692" s="58" t="s">
        <v>331</v>
      </c>
      <c r="B692" s="39" t="s">
        <v>14</v>
      </c>
      <c r="C692" s="39" t="s">
        <v>545</v>
      </c>
      <c r="D692" s="47" t="s">
        <v>179</v>
      </c>
      <c r="E692" s="50">
        <f>E693</f>
        <v>0</v>
      </c>
      <c r="F692" s="12"/>
    </row>
    <row r="693" spans="1:6" s="5" customFormat="1" ht="25.5" customHeight="1">
      <c r="A693" s="58" t="s">
        <v>333</v>
      </c>
      <c r="B693" s="39" t="s">
        <v>14</v>
      </c>
      <c r="C693" s="39" t="s">
        <v>545</v>
      </c>
      <c r="D693" s="39" t="s">
        <v>332</v>
      </c>
      <c r="E693" s="53"/>
      <c r="F693" s="12"/>
    </row>
    <row r="694" spans="1:6" s="5" customFormat="1" ht="25.5" customHeight="1">
      <c r="A694" s="58" t="s">
        <v>174</v>
      </c>
      <c r="B694" s="39" t="s">
        <v>14</v>
      </c>
      <c r="C694" s="39" t="s">
        <v>545</v>
      </c>
      <c r="D694" s="39" t="s">
        <v>173</v>
      </c>
      <c r="E694" s="53">
        <f>E695</f>
        <v>0</v>
      </c>
      <c r="F694" s="12"/>
    </row>
    <row r="695" spans="1:6" s="5" customFormat="1" ht="33" customHeight="1">
      <c r="A695" s="58" t="s">
        <v>176</v>
      </c>
      <c r="B695" s="39" t="s">
        <v>14</v>
      </c>
      <c r="C695" s="39" t="s">
        <v>545</v>
      </c>
      <c r="D695" s="39" t="s">
        <v>175</v>
      </c>
      <c r="E695" s="53"/>
      <c r="F695" s="12"/>
    </row>
    <row r="696" spans="1:6" s="5" customFormat="1" ht="25.5" customHeight="1">
      <c r="A696" s="58" t="s">
        <v>178</v>
      </c>
      <c r="B696" s="39" t="s">
        <v>14</v>
      </c>
      <c r="C696" s="39" t="s">
        <v>545</v>
      </c>
      <c r="D696" s="39" t="s">
        <v>177</v>
      </c>
      <c r="E696" s="53">
        <f>E697</f>
        <v>0</v>
      </c>
      <c r="F696" s="12"/>
    </row>
    <row r="697" spans="1:6" s="5" customFormat="1" ht="25.5" customHeight="1">
      <c r="A697" s="58" t="s">
        <v>335</v>
      </c>
      <c r="B697" s="39" t="s">
        <v>14</v>
      </c>
      <c r="C697" s="39" t="s">
        <v>545</v>
      </c>
      <c r="D697" s="39" t="s">
        <v>334</v>
      </c>
      <c r="E697" s="53"/>
      <c r="F697" s="12"/>
    </row>
    <row r="698" spans="1:6" s="1" customFormat="1" ht="31.5" customHeight="1">
      <c r="A698" s="59" t="s">
        <v>118</v>
      </c>
      <c r="B698" s="63" t="s">
        <v>148</v>
      </c>
      <c r="C698" s="63"/>
      <c r="D698" s="63"/>
      <c r="E698" s="13">
        <f>E700+E711+E706</f>
        <v>0</v>
      </c>
      <c r="F698" s="13">
        <f>F700+F711+F706</f>
        <v>0</v>
      </c>
    </row>
    <row r="699" spans="1:6" s="1" customFormat="1" ht="33" customHeight="1">
      <c r="A699" s="68" t="s">
        <v>454</v>
      </c>
      <c r="B699" s="10" t="s">
        <v>148</v>
      </c>
      <c r="C699" s="10" t="s">
        <v>455</v>
      </c>
      <c r="D699" s="10"/>
      <c r="E699" s="107">
        <f>E700</f>
        <v>0</v>
      </c>
      <c r="F699" s="107">
        <f>F700</f>
        <v>0</v>
      </c>
    </row>
    <row r="700" spans="1:6" s="1" customFormat="1" ht="64.5" customHeight="1">
      <c r="A700" s="46" t="s">
        <v>411</v>
      </c>
      <c r="B700" s="10" t="s">
        <v>148</v>
      </c>
      <c r="C700" s="10" t="s">
        <v>460</v>
      </c>
      <c r="D700" s="10"/>
      <c r="E700" s="57">
        <f>E701</f>
        <v>0</v>
      </c>
      <c r="F700" s="57">
        <f>F701</f>
        <v>0</v>
      </c>
    </row>
    <row r="701" spans="1:6" s="1" customFormat="1" ht="45.75" customHeight="1">
      <c r="A701" s="46" t="s">
        <v>412</v>
      </c>
      <c r="B701" s="10" t="s">
        <v>148</v>
      </c>
      <c r="C701" s="10" t="s">
        <v>460</v>
      </c>
      <c r="D701" s="10"/>
      <c r="E701" s="57">
        <f>E702+E704</f>
        <v>0</v>
      </c>
      <c r="F701" s="57">
        <f>F702+F704</f>
        <v>0</v>
      </c>
    </row>
    <row r="702" spans="1:6" s="1" customFormat="1" ht="58.5" customHeight="1">
      <c r="A702" s="43" t="s">
        <v>331</v>
      </c>
      <c r="B702" s="10" t="s">
        <v>148</v>
      </c>
      <c r="C702" s="10" t="s">
        <v>460</v>
      </c>
      <c r="D702" s="10" t="s">
        <v>179</v>
      </c>
      <c r="E702" s="57">
        <f>E703</f>
        <v>0</v>
      </c>
      <c r="F702" s="57">
        <f>F703</f>
        <v>0</v>
      </c>
    </row>
    <row r="703" spans="1:6" s="1" customFormat="1" ht="22.5" customHeight="1">
      <c r="A703" s="58" t="s">
        <v>172</v>
      </c>
      <c r="B703" s="10" t="s">
        <v>148</v>
      </c>
      <c r="C703" s="10" t="s">
        <v>460</v>
      </c>
      <c r="D703" s="10" t="s">
        <v>171</v>
      </c>
      <c r="E703" s="57"/>
      <c r="F703" s="57">
        <f>E703</f>
        <v>0</v>
      </c>
    </row>
    <row r="704" spans="1:6" s="1" customFormat="1" ht="20.25" customHeight="1">
      <c r="A704" s="46" t="s">
        <v>174</v>
      </c>
      <c r="B704" s="10" t="s">
        <v>148</v>
      </c>
      <c r="C704" s="10" t="s">
        <v>460</v>
      </c>
      <c r="D704" s="10" t="s">
        <v>173</v>
      </c>
      <c r="E704" s="57">
        <f>E705</f>
        <v>0</v>
      </c>
      <c r="F704" s="57">
        <f>F705</f>
        <v>0</v>
      </c>
    </row>
    <row r="705" spans="1:6" s="1" customFormat="1" ht="30.75" customHeight="1">
      <c r="A705" s="58" t="s">
        <v>176</v>
      </c>
      <c r="B705" s="39" t="s">
        <v>148</v>
      </c>
      <c r="C705" s="10" t="s">
        <v>460</v>
      </c>
      <c r="D705" s="39" t="s">
        <v>175</v>
      </c>
      <c r="E705" s="40"/>
      <c r="F705" s="40">
        <f>E705</f>
        <v>0</v>
      </c>
    </row>
    <row r="706" spans="1:6" s="1" customFormat="1" ht="33.75" customHeight="1">
      <c r="A706" s="46" t="s">
        <v>482</v>
      </c>
      <c r="B706" s="39" t="s">
        <v>148</v>
      </c>
      <c r="C706" s="10" t="s">
        <v>449</v>
      </c>
      <c r="D706" s="10"/>
      <c r="E706" s="57">
        <f aca="true" t="shared" si="5" ref="E706:F709">E707</f>
        <v>0</v>
      </c>
      <c r="F706" s="57">
        <f t="shared" si="5"/>
        <v>0</v>
      </c>
    </row>
    <row r="707" spans="1:6" s="1" customFormat="1" ht="20.25" customHeight="1">
      <c r="A707" s="46" t="s">
        <v>472</v>
      </c>
      <c r="B707" s="39" t="s">
        <v>148</v>
      </c>
      <c r="C707" s="10" t="s">
        <v>473</v>
      </c>
      <c r="D707" s="10"/>
      <c r="E707" s="57">
        <f t="shared" si="5"/>
        <v>0</v>
      </c>
      <c r="F707" s="57">
        <f t="shared" si="5"/>
        <v>0</v>
      </c>
    </row>
    <row r="708" spans="1:6" s="1" customFormat="1" ht="48" customHeight="1">
      <c r="A708" s="46" t="s">
        <v>448</v>
      </c>
      <c r="B708" s="39" t="s">
        <v>148</v>
      </c>
      <c r="C708" s="10" t="s">
        <v>474</v>
      </c>
      <c r="D708" s="10"/>
      <c r="E708" s="53">
        <f t="shared" si="5"/>
        <v>0</v>
      </c>
      <c r="F708" s="53">
        <f t="shared" si="5"/>
        <v>0</v>
      </c>
    </row>
    <row r="709" spans="1:6" s="1" customFormat="1" ht="63.75" customHeight="1">
      <c r="A709" s="43" t="s">
        <v>331</v>
      </c>
      <c r="B709" s="39" t="s">
        <v>148</v>
      </c>
      <c r="C709" s="10" t="s">
        <v>474</v>
      </c>
      <c r="D709" s="10" t="s">
        <v>179</v>
      </c>
      <c r="E709" s="53">
        <f t="shared" si="5"/>
        <v>0</v>
      </c>
      <c r="F709" s="53">
        <f t="shared" si="5"/>
        <v>0</v>
      </c>
    </row>
    <row r="710" spans="1:6" s="1" customFormat="1" ht="21.75" customHeight="1">
      <c r="A710" s="43" t="s">
        <v>333</v>
      </c>
      <c r="B710" s="39" t="s">
        <v>148</v>
      </c>
      <c r="C710" s="10" t="s">
        <v>474</v>
      </c>
      <c r="D710" s="10" t="s">
        <v>171</v>
      </c>
      <c r="E710" s="50"/>
      <c r="F710" s="50">
        <f>E710</f>
        <v>0</v>
      </c>
    </row>
    <row r="711" spans="1:6" s="1" customFormat="1" ht="45" customHeight="1">
      <c r="A711" s="46" t="s">
        <v>10</v>
      </c>
      <c r="B711" s="39" t="s">
        <v>148</v>
      </c>
      <c r="C711" s="48" t="s">
        <v>34</v>
      </c>
      <c r="D711" s="48"/>
      <c r="E711" s="44">
        <f>E712</f>
        <v>0</v>
      </c>
      <c r="F711" s="44">
        <f>F712</f>
        <v>0</v>
      </c>
    </row>
    <row r="712" spans="1:6" s="1" customFormat="1" ht="32.25" customHeight="1">
      <c r="A712" s="46" t="s">
        <v>17</v>
      </c>
      <c r="B712" s="39" t="s">
        <v>148</v>
      </c>
      <c r="C712" s="48" t="s">
        <v>194</v>
      </c>
      <c r="D712" s="48"/>
      <c r="E712" s="53">
        <f>E713</f>
        <v>0</v>
      </c>
      <c r="F712" s="96"/>
    </row>
    <row r="713" spans="1:6" s="1" customFormat="1" ht="19.5" customHeight="1">
      <c r="A713" s="46" t="s">
        <v>174</v>
      </c>
      <c r="B713" s="39" t="s">
        <v>148</v>
      </c>
      <c r="C713" s="48" t="s">
        <v>194</v>
      </c>
      <c r="D713" s="48" t="s">
        <v>173</v>
      </c>
      <c r="E713" s="53">
        <f>E714</f>
        <v>0</v>
      </c>
      <c r="F713" s="96"/>
    </row>
    <row r="714" spans="1:6" s="1" customFormat="1" ht="33" customHeight="1">
      <c r="A714" s="58" t="s">
        <v>176</v>
      </c>
      <c r="B714" s="39" t="s">
        <v>148</v>
      </c>
      <c r="C714" s="48" t="s">
        <v>194</v>
      </c>
      <c r="D714" s="47" t="s">
        <v>175</v>
      </c>
      <c r="E714" s="50"/>
      <c r="F714" s="83"/>
    </row>
    <row r="715" spans="1:8" s="1" customFormat="1" ht="27.75" customHeight="1">
      <c r="A715" s="22" t="s">
        <v>119</v>
      </c>
      <c r="B715" s="19" t="s">
        <v>92</v>
      </c>
      <c r="C715" s="19"/>
      <c r="D715" s="19"/>
      <c r="E715" s="20">
        <f>E716</f>
        <v>-192.8</v>
      </c>
      <c r="F715" s="20">
        <f>F716</f>
        <v>0</v>
      </c>
      <c r="H715" s="100"/>
    </row>
    <row r="716" spans="1:6" s="1" customFormat="1" ht="28.5" customHeight="1">
      <c r="A716" s="64" t="s">
        <v>137</v>
      </c>
      <c r="B716" s="63" t="s">
        <v>149</v>
      </c>
      <c r="C716" s="63"/>
      <c r="D716" s="63"/>
      <c r="E716" s="13">
        <f>E721+E717+E745</f>
        <v>-192.8</v>
      </c>
      <c r="F716" s="13">
        <f>F721+F717+F745</f>
        <v>0</v>
      </c>
    </row>
    <row r="717" spans="1:6" s="1" customFormat="1" ht="75.75" customHeight="1">
      <c r="A717" s="36" t="s">
        <v>269</v>
      </c>
      <c r="B717" s="39" t="s">
        <v>149</v>
      </c>
      <c r="C717" s="39" t="s">
        <v>36</v>
      </c>
      <c r="D717" s="39"/>
      <c r="E717" s="40">
        <f>E718</f>
        <v>-192.8</v>
      </c>
      <c r="F717" s="40"/>
    </row>
    <row r="718" spans="1:6" s="1" customFormat="1" ht="75.75" customHeight="1">
      <c r="A718" s="36" t="s">
        <v>496</v>
      </c>
      <c r="B718" s="39" t="s">
        <v>149</v>
      </c>
      <c r="C718" s="39" t="s">
        <v>37</v>
      </c>
      <c r="D718" s="10"/>
      <c r="E718" s="40">
        <f>E719</f>
        <v>-192.8</v>
      </c>
      <c r="F718" s="40"/>
    </row>
    <row r="719" spans="1:6" s="1" customFormat="1" ht="18.75" customHeight="1">
      <c r="A719" s="46" t="s">
        <v>174</v>
      </c>
      <c r="B719" s="39" t="s">
        <v>149</v>
      </c>
      <c r="C719" s="39" t="s">
        <v>37</v>
      </c>
      <c r="D719" s="38" t="s">
        <v>173</v>
      </c>
      <c r="E719" s="40">
        <f>E720</f>
        <v>-192.8</v>
      </c>
      <c r="F719" s="40"/>
    </row>
    <row r="720" spans="1:6" s="1" customFormat="1" ht="33.75" customHeight="1">
      <c r="A720" s="46" t="s">
        <v>176</v>
      </c>
      <c r="B720" s="39" t="s">
        <v>149</v>
      </c>
      <c r="C720" s="39" t="s">
        <v>37</v>
      </c>
      <c r="D720" s="38" t="s">
        <v>175</v>
      </c>
      <c r="E720" s="40">
        <v>-192.8</v>
      </c>
      <c r="F720" s="40"/>
    </row>
    <row r="721" spans="1:6" s="1" customFormat="1" ht="45" customHeight="1">
      <c r="A721" s="52" t="s">
        <v>270</v>
      </c>
      <c r="B721" s="39" t="s">
        <v>149</v>
      </c>
      <c r="C721" s="47" t="s">
        <v>190</v>
      </c>
      <c r="D721" s="39"/>
      <c r="E721" s="40">
        <f>E722+E734+E737+E725+E728+E740+E731</f>
        <v>0</v>
      </c>
      <c r="F721" s="40">
        <f>F722+F734+F737+F725+F728</f>
        <v>0</v>
      </c>
    </row>
    <row r="722" spans="1:6" s="1" customFormat="1" ht="22.5" customHeight="1">
      <c r="A722" s="52" t="s">
        <v>232</v>
      </c>
      <c r="B722" s="39" t="s">
        <v>149</v>
      </c>
      <c r="C722" s="47" t="s">
        <v>231</v>
      </c>
      <c r="D722" s="39"/>
      <c r="E722" s="40">
        <f>E723</f>
        <v>0</v>
      </c>
      <c r="F722" s="40"/>
    </row>
    <row r="723" spans="1:6" s="1" customFormat="1" ht="22.5" customHeight="1">
      <c r="A723" s="46" t="s">
        <v>174</v>
      </c>
      <c r="B723" s="39" t="s">
        <v>149</v>
      </c>
      <c r="C723" s="47" t="s">
        <v>231</v>
      </c>
      <c r="D723" s="39" t="s">
        <v>173</v>
      </c>
      <c r="E723" s="40">
        <f>E724</f>
        <v>0</v>
      </c>
      <c r="F723" s="40"/>
    </row>
    <row r="724" spans="1:6" s="1" customFormat="1" ht="32.25" customHeight="1">
      <c r="A724" s="46" t="s">
        <v>176</v>
      </c>
      <c r="B724" s="39" t="s">
        <v>149</v>
      </c>
      <c r="C724" s="47" t="s">
        <v>231</v>
      </c>
      <c r="D724" s="39" t="s">
        <v>175</v>
      </c>
      <c r="E724" s="40"/>
      <c r="F724" s="40"/>
    </row>
    <row r="725" spans="1:6" s="1" customFormat="1" ht="32.25" customHeight="1">
      <c r="A725" s="43" t="s">
        <v>647</v>
      </c>
      <c r="B725" s="39" t="s">
        <v>149</v>
      </c>
      <c r="C725" s="48" t="s">
        <v>646</v>
      </c>
      <c r="D725" s="48"/>
      <c r="E725" s="53">
        <f>E726</f>
        <v>0</v>
      </c>
      <c r="F725" s="40"/>
    </row>
    <row r="726" spans="1:6" s="1" customFormat="1" ht="25.5" customHeight="1">
      <c r="A726" s="58" t="s">
        <v>174</v>
      </c>
      <c r="B726" s="39" t="s">
        <v>149</v>
      </c>
      <c r="C726" s="48" t="s">
        <v>646</v>
      </c>
      <c r="D726" s="48" t="s">
        <v>173</v>
      </c>
      <c r="E726" s="50">
        <f>E727</f>
        <v>0</v>
      </c>
      <c r="F726" s="40"/>
    </row>
    <row r="727" spans="1:6" s="1" customFormat="1" ht="32.25" customHeight="1">
      <c r="A727" s="46" t="s">
        <v>176</v>
      </c>
      <c r="B727" s="39" t="s">
        <v>149</v>
      </c>
      <c r="C727" s="48" t="s">
        <v>646</v>
      </c>
      <c r="D727" s="48" t="s">
        <v>175</v>
      </c>
      <c r="E727" s="53"/>
      <c r="F727" s="40"/>
    </row>
    <row r="728" spans="1:6" s="1" customFormat="1" ht="35.25" customHeight="1">
      <c r="A728" s="46" t="s">
        <v>648</v>
      </c>
      <c r="B728" s="39" t="s">
        <v>149</v>
      </c>
      <c r="C728" s="48" t="s">
        <v>649</v>
      </c>
      <c r="D728" s="48"/>
      <c r="E728" s="53">
        <f>E729</f>
        <v>0</v>
      </c>
      <c r="F728" s="53"/>
    </row>
    <row r="729" spans="1:6" s="1" customFormat="1" ht="20.25" customHeight="1">
      <c r="A729" s="58" t="s">
        <v>174</v>
      </c>
      <c r="B729" s="39" t="s">
        <v>149</v>
      </c>
      <c r="C729" s="48" t="s">
        <v>649</v>
      </c>
      <c r="D729" s="48" t="s">
        <v>173</v>
      </c>
      <c r="E729" s="50">
        <f>E730</f>
        <v>0</v>
      </c>
      <c r="F729" s="53"/>
    </row>
    <row r="730" spans="1:6" s="1" customFormat="1" ht="32.25" customHeight="1">
      <c r="A730" s="46" t="s">
        <v>176</v>
      </c>
      <c r="B730" s="39" t="s">
        <v>149</v>
      </c>
      <c r="C730" s="48" t="s">
        <v>649</v>
      </c>
      <c r="D730" s="48" t="s">
        <v>175</v>
      </c>
      <c r="E730" s="53"/>
      <c r="F730" s="53"/>
    </row>
    <row r="731" spans="1:6" s="1" customFormat="1" ht="32.25" customHeight="1">
      <c r="A731" s="46" t="s">
        <v>742</v>
      </c>
      <c r="B731" s="39" t="s">
        <v>149</v>
      </c>
      <c r="C731" s="47" t="s">
        <v>743</v>
      </c>
      <c r="D731" s="39"/>
      <c r="E731" s="40">
        <f>E732</f>
        <v>0</v>
      </c>
      <c r="F731" s="40"/>
    </row>
    <row r="732" spans="1:6" s="1" customFormat="1" ht="22.5" customHeight="1">
      <c r="A732" s="46" t="s">
        <v>174</v>
      </c>
      <c r="B732" s="39" t="s">
        <v>149</v>
      </c>
      <c r="C732" s="47" t="s">
        <v>743</v>
      </c>
      <c r="D732" s="39" t="s">
        <v>173</v>
      </c>
      <c r="E732" s="40">
        <f>E733</f>
        <v>0</v>
      </c>
      <c r="F732" s="40"/>
    </row>
    <row r="733" spans="1:6" s="1" customFormat="1" ht="32.25" customHeight="1">
      <c r="A733" s="46" t="s">
        <v>176</v>
      </c>
      <c r="B733" s="39" t="s">
        <v>149</v>
      </c>
      <c r="C733" s="47" t="s">
        <v>743</v>
      </c>
      <c r="D733" s="39" t="s">
        <v>175</v>
      </c>
      <c r="E733" s="40"/>
      <c r="F733" s="40">
        <v>0</v>
      </c>
    </row>
    <row r="734" spans="1:6" s="1" customFormat="1" ht="33.75" customHeight="1">
      <c r="A734" s="46" t="s">
        <v>737</v>
      </c>
      <c r="B734" s="39" t="s">
        <v>149</v>
      </c>
      <c r="C734" s="47" t="s">
        <v>735</v>
      </c>
      <c r="D734" s="39"/>
      <c r="E734" s="40">
        <f>E735</f>
        <v>0</v>
      </c>
      <c r="F734" s="40">
        <f>F735</f>
        <v>0</v>
      </c>
    </row>
    <row r="735" spans="1:6" s="1" customFormat="1" ht="32.25" customHeight="1">
      <c r="A735" s="52" t="s">
        <v>339</v>
      </c>
      <c r="B735" s="39" t="s">
        <v>149</v>
      </c>
      <c r="C735" s="47" t="s">
        <v>735</v>
      </c>
      <c r="D735" s="39" t="s">
        <v>338</v>
      </c>
      <c r="E735" s="40">
        <f>E736</f>
        <v>0</v>
      </c>
      <c r="F735" s="40">
        <f>F736</f>
        <v>0</v>
      </c>
    </row>
    <row r="736" spans="1:6" s="1" customFormat="1" ht="21" customHeight="1">
      <c r="A736" s="52" t="s">
        <v>337</v>
      </c>
      <c r="B736" s="39" t="s">
        <v>149</v>
      </c>
      <c r="C736" s="47" t="s">
        <v>735</v>
      </c>
      <c r="D736" s="39" t="s">
        <v>336</v>
      </c>
      <c r="E736" s="40"/>
      <c r="F736" s="40">
        <f>E736</f>
        <v>0</v>
      </c>
    </row>
    <row r="737" spans="1:6" s="1" customFormat="1" ht="50.25" customHeight="1">
      <c r="A737" s="46" t="s">
        <v>738</v>
      </c>
      <c r="B737" s="39" t="s">
        <v>149</v>
      </c>
      <c r="C737" s="47" t="s">
        <v>735</v>
      </c>
      <c r="D737" s="39"/>
      <c r="E737" s="40">
        <f>E738</f>
        <v>0</v>
      </c>
      <c r="F737" s="40"/>
    </row>
    <row r="738" spans="1:6" s="1" customFormat="1" ht="32.25" customHeight="1">
      <c r="A738" s="52" t="s">
        <v>339</v>
      </c>
      <c r="B738" s="39" t="s">
        <v>149</v>
      </c>
      <c r="C738" s="47" t="s">
        <v>735</v>
      </c>
      <c r="D738" s="39" t="s">
        <v>338</v>
      </c>
      <c r="E738" s="40">
        <f>E739</f>
        <v>0</v>
      </c>
      <c r="F738" s="40"/>
    </row>
    <row r="739" spans="1:6" s="1" customFormat="1" ht="19.5" customHeight="1">
      <c r="A739" s="52" t="s">
        <v>337</v>
      </c>
      <c r="B739" s="39" t="s">
        <v>149</v>
      </c>
      <c r="C739" s="47" t="s">
        <v>735</v>
      </c>
      <c r="D739" s="39" t="s">
        <v>336</v>
      </c>
      <c r="E739" s="40"/>
      <c r="F739" s="40">
        <v>0</v>
      </c>
    </row>
    <row r="740" spans="1:6" s="1" customFormat="1" ht="33.75" customHeight="1">
      <c r="A740" s="46" t="s">
        <v>739</v>
      </c>
      <c r="B740" s="39" t="s">
        <v>149</v>
      </c>
      <c r="C740" s="47" t="s">
        <v>736</v>
      </c>
      <c r="D740" s="39"/>
      <c r="E740" s="40">
        <f>E743+E741</f>
        <v>0</v>
      </c>
      <c r="F740" s="40"/>
    </row>
    <row r="741" spans="1:6" s="1" customFormat="1" ht="33.75" customHeight="1">
      <c r="A741" s="58" t="s">
        <v>174</v>
      </c>
      <c r="B741" s="39" t="s">
        <v>149</v>
      </c>
      <c r="C741" s="47" t="s">
        <v>736</v>
      </c>
      <c r="D741" s="48" t="s">
        <v>173</v>
      </c>
      <c r="E741" s="50">
        <f>E742</f>
        <v>0</v>
      </c>
      <c r="F741" s="40"/>
    </row>
    <row r="742" spans="1:6" s="1" customFormat="1" ht="33.75" customHeight="1">
      <c r="A742" s="46" t="s">
        <v>176</v>
      </c>
      <c r="B742" s="39" t="s">
        <v>149</v>
      </c>
      <c r="C742" s="47" t="s">
        <v>736</v>
      </c>
      <c r="D742" s="48" t="s">
        <v>175</v>
      </c>
      <c r="E742" s="53"/>
      <c r="F742" s="40"/>
    </row>
    <row r="743" spans="1:6" s="1" customFormat="1" ht="32.25" customHeight="1">
      <c r="A743" s="52" t="s">
        <v>339</v>
      </c>
      <c r="B743" s="39" t="s">
        <v>149</v>
      </c>
      <c r="C743" s="47" t="s">
        <v>736</v>
      </c>
      <c r="D743" s="39" t="s">
        <v>338</v>
      </c>
      <c r="E743" s="40">
        <f>E744</f>
        <v>0</v>
      </c>
      <c r="F743" s="40"/>
    </row>
    <row r="744" spans="1:6" s="1" customFormat="1" ht="19.5" customHeight="1">
      <c r="A744" s="52" t="s">
        <v>337</v>
      </c>
      <c r="B744" s="39" t="s">
        <v>149</v>
      </c>
      <c r="C744" s="47" t="s">
        <v>736</v>
      </c>
      <c r="D744" s="39" t="s">
        <v>336</v>
      </c>
      <c r="E744" s="40"/>
      <c r="F744" s="40">
        <v>0</v>
      </c>
    </row>
    <row r="745" spans="1:6" s="1" customFormat="1" ht="31.5" customHeight="1">
      <c r="A745" s="46" t="s">
        <v>482</v>
      </c>
      <c r="B745" s="39" t="s">
        <v>149</v>
      </c>
      <c r="C745" s="10" t="s">
        <v>449</v>
      </c>
      <c r="D745" s="39"/>
      <c r="E745" s="40">
        <f aca="true" t="shared" si="6" ref="E745:F748">E746</f>
        <v>0</v>
      </c>
      <c r="F745" s="40">
        <f t="shared" si="6"/>
        <v>0</v>
      </c>
    </row>
    <row r="746" spans="1:6" s="1" customFormat="1" ht="19.5" customHeight="1">
      <c r="A746" s="46" t="s">
        <v>472</v>
      </c>
      <c r="B746" s="39" t="s">
        <v>149</v>
      </c>
      <c r="C746" s="10" t="s">
        <v>473</v>
      </c>
      <c r="D746" s="39"/>
      <c r="E746" s="40">
        <f>E747</f>
        <v>0</v>
      </c>
      <c r="F746" s="40">
        <f t="shared" si="6"/>
        <v>0</v>
      </c>
    </row>
    <row r="747" spans="1:6" s="1" customFormat="1" ht="31.5" customHeight="1">
      <c r="A747" s="43" t="s">
        <v>659</v>
      </c>
      <c r="B747" s="39" t="s">
        <v>149</v>
      </c>
      <c r="C747" s="39" t="s">
        <v>660</v>
      </c>
      <c r="D747" s="39"/>
      <c r="E747" s="40">
        <f t="shared" si="6"/>
        <v>0</v>
      </c>
      <c r="F747" s="40">
        <f t="shared" si="6"/>
        <v>0</v>
      </c>
    </row>
    <row r="748" spans="1:6" s="1" customFormat="1" ht="19.5" customHeight="1">
      <c r="A748" s="58" t="s">
        <v>178</v>
      </c>
      <c r="B748" s="39" t="s">
        <v>149</v>
      </c>
      <c r="C748" s="39" t="s">
        <v>660</v>
      </c>
      <c r="D748" s="39" t="s">
        <v>177</v>
      </c>
      <c r="E748" s="40">
        <f t="shared" si="6"/>
        <v>0</v>
      </c>
      <c r="F748" s="40">
        <f t="shared" si="6"/>
        <v>0</v>
      </c>
    </row>
    <row r="749" spans="1:6" s="1" customFormat="1" ht="48" customHeight="1">
      <c r="A749" s="42" t="s">
        <v>294</v>
      </c>
      <c r="B749" s="39" t="s">
        <v>149</v>
      </c>
      <c r="C749" s="39" t="s">
        <v>660</v>
      </c>
      <c r="D749" s="39" t="s">
        <v>48</v>
      </c>
      <c r="E749" s="40"/>
      <c r="F749" s="40">
        <f>E749</f>
        <v>0</v>
      </c>
    </row>
    <row r="750" spans="1:9" s="1" customFormat="1" ht="22.5" customHeight="1">
      <c r="A750" s="21" t="s">
        <v>98</v>
      </c>
      <c r="B750" s="19" t="s">
        <v>93</v>
      </c>
      <c r="C750" s="19"/>
      <c r="D750" s="19"/>
      <c r="E750" s="20">
        <f>E751+E787+E935+E947+E931+E889</f>
        <v>-1.4495071809506044E-12</v>
      </c>
      <c r="F750" s="20">
        <f>F751+F787+F935+F947+F931+F889</f>
        <v>59127</v>
      </c>
      <c r="H750" s="100">
        <f>E750-F750</f>
        <v>-59127</v>
      </c>
      <c r="I750" s="100"/>
    </row>
    <row r="751" spans="1:8" s="1" customFormat="1" ht="20.25" customHeight="1">
      <c r="A751" s="49" t="s">
        <v>99</v>
      </c>
      <c r="B751" s="65" t="s">
        <v>94</v>
      </c>
      <c r="C751" s="65"/>
      <c r="D751" s="65"/>
      <c r="E751" s="11">
        <f>E752+E780</f>
        <v>-628.5</v>
      </c>
      <c r="F751" s="11">
        <f>F752+F780</f>
        <v>17940</v>
      </c>
      <c r="H751" s="100"/>
    </row>
    <row r="752" spans="1:8" s="1" customFormat="1" ht="44.25" customHeight="1">
      <c r="A752" s="52" t="s">
        <v>271</v>
      </c>
      <c r="B752" s="37" t="s">
        <v>94</v>
      </c>
      <c r="C752" s="10" t="s">
        <v>135</v>
      </c>
      <c r="D752" s="37"/>
      <c r="E752" s="66">
        <f>E753</f>
        <v>-628.5</v>
      </c>
      <c r="F752" s="66">
        <f>F753</f>
        <v>17940</v>
      </c>
      <c r="H752" s="100">
        <f>E752-F752</f>
        <v>-18568.5</v>
      </c>
    </row>
    <row r="753" spans="1:6" s="1" customFormat="1" ht="20.25" customHeight="1">
      <c r="A753" s="60" t="s">
        <v>284</v>
      </c>
      <c r="B753" s="37" t="s">
        <v>94</v>
      </c>
      <c r="C753" s="39" t="s">
        <v>136</v>
      </c>
      <c r="D753" s="37"/>
      <c r="E753" s="66">
        <f>E757+E763+E754+E760</f>
        <v>-628.5</v>
      </c>
      <c r="F753" s="66">
        <f>F757+F763+F754+F760</f>
        <v>17940</v>
      </c>
    </row>
    <row r="754" spans="1:6" s="1" customFormat="1" ht="27" customHeight="1">
      <c r="A754" s="51" t="s">
        <v>777</v>
      </c>
      <c r="B754" s="37" t="s">
        <v>94</v>
      </c>
      <c r="C754" s="39" t="s">
        <v>756</v>
      </c>
      <c r="D754" s="37"/>
      <c r="E754" s="44">
        <f>E755</f>
        <v>17940</v>
      </c>
      <c r="F754" s="44">
        <f>F755</f>
        <v>17940</v>
      </c>
    </row>
    <row r="755" spans="1:6" s="1" customFormat="1" ht="30.75" customHeight="1">
      <c r="A755" s="60" t="s">
        <v>339</v>
      </c>
      <c r="B755" s="37" t="s">
        <v>94</v>
      </c>
      <c r="C755" s="39" t="s">
        <v>756</v>
      </c>
      <c r="D755" s="37" t="s">
        <v>338</v>
      </c>
      <c r="E755" s="44">
        <f>E756</f>
        <v>17940</v>
      </c>
      <c r="F755" s="44">
        <f>F756</f>
        <v>17940</v>
      </c>
    </row>
    <row r="756" spans="1:6" s="1" customFormat="1" ht="20.25" customHeight="1">
      <c r="A756" s="60" t="s">
        <v>337</v>
      </c>
      <c r="B756" s="37" t="s">
        <v>94</v>
      </c>
      <c r="C756" s="39" t="s">
        <v>756</v>
      </c>
      <c r="D756" s="37" t="s">
        <v>336</v>
      </c>
      <c r="E756" s="44">
        <v>17940</v>
      </c>
      <c r="F756" s="44">
        <f>E756</f>
        <v>17940</v>
      </c>
    </row>
    <row r="757" spans="1:6" s="1" customFormat="1" ht="122.25" customHeight="1">
      <c r="A757" s="52" t="s">
        <v>279</v>
      </c>
      <c r="B757" s="37" t="s">
        <v>94</v>
      </c>
      <c r="C757" s="10" t="s">
        <v>430</v>
      </c>
      <c r="D757" s="37"/>
      <c r="E757" s="44">
        <f>E759</f>
        <v>0</v>
      </c>
      <c r="F757" s="44">
        <f>F759</f>
        <v>0</v>
      </c>
    </row>
    <row r="758" spans="1:6" s="1" customFormat="1" ht="33" customHeight="1">
      <c r="A758" s="52" t="s">
        <v>339</v>
      </c>
      <c r="B758" s="37" t="s">
        <v>94</v>
      </c>
      <c r="C758" s="10" t="s">
        <v>430</v>
      </c>
      <c r="D758" s="37" t="s">
        <v>338</v>
      </c>
      <c r="E758" s="44">
        <f>E759</f>
        <v>0</v>
      </c>
      <c r="F758" s="44">
        <f>F759</f>
        <v>0</v>
      </c>
    </row>
    <row r="759" spans="1:6" s="1" customFormat="1" ht="22.5" customHeight="1">
      <c r="A759" s="52" t="s">
        <v>337</v>
      </c>
      <c r="B759" s="37" t="s">
        <v>94</v>
      </c>
      <c r="C759" s="10" t="s">
        <v>430</v>
      </c>
      <c r="D759" s="37" t="s">
        <v>336</v>
      </c>
      <c r="E759" s="44"/>
      <c r="F759" s="44">
        <f>E759</f>
        <v>0</v>
      </c>
    </row>
    <row r="760" spans="1:6" s="1" customFormat="1" ht="64.5" customHeight="1">
      <c r="A760" s="42" t="s">
        <v>755</v>
      </c>
      <c r="B760" s="37" t="s">
        <v>94</v>
      </c>
      <c r="C760" s="39" t="s">
        <v>756</v>
      </c>
      <c r="D760" s="37"/>
      <c r="E760" s="44">
        <f>E761</f>
        <v>0</v>
      </c>
      <c r="F760" s="44">
        <f>F761</f>
        <v>0</v>
      </c>
    </row>
    <row r="761" spans="1:6" s="1" customFormat="1" ht="29.25" customHeight="1">
      <c r="A761" s="60" t="s">
        <v>339</v>
      </c>
      <c r="B761" s="37" t="s">
        <v>94</v>
      </c>
      <c r="C761" s="39" t="s">
        <v>756</v>
      </c>
      <c r="D761" s="37" t="s">
        <v>338</v>
      </c>
      <c r="E761" s="44">
        <f>E762</f>
        <v>0</v>
      </c>
      <c r="F761" s="44">
        <f>F762</f>
        <v>0</v>
      </c>
    </row>
    <row r="762" spans="1:6" s="1" customFormat="1" ht="22.5" customHeight="1">
      <c r="A762" s="42" t="s">
        <v>337</v>
      </c>
      <c r="B762" s="37" t="s">
        <v>94</v>
      </c>
      <c r="C762" s="39" t="s">
        <v>756</v>
      </c>
      <c r="D762" s="37" t="s">
        <v>336</v>
      </c>
      <c r="E762" s="44"/>
      <c r="F762" s="44">
        <f>E762</f>
        <v>0</v>
      </c>
    </row>
    <row r="763" spans="1:6" s="1" customFormat="1" ht="32.25" customHeight="1">
      <c r="A763" s="52" t="s">
        <v>246</v>
      </c>
      <c r="B763" s="37" t="s">
        <v>94</v>
      </c>
      <c r="C763" s="10" t="s">
        <v>135</v>
      </c>
      <c r="D763" s="37"/>
      <c r="E763" s="44">
        <f>E764</f>
        <v>-18568.5</v>
      </c>
      <c r="F763" s="44"/>
    </row>
    <row r="764" spans="1:6" s="1" customFormat="1" ht="21" customHeight="1">
      <c r="A764" s="60" t="s">
        <v>284</v>
      </c>
      <c r="B764" s="37" t="s">
        <v>94</v>
      </c>
      <c r="C764" s="10" t="s">
        <v>136</v>
      </c>
      <c r="D764" s="37"/>
      <c r="E764" s="44">
        <f>E765+E771+E768+E774+E777</f>
        <v>-18568.5</v>
      </c>
      <c r="F764" s="44"/>
    </row>
    <row r="765" spans="1:6" s="1" customFormat="1" ht="25.5" customHeight="1">
      <c r="A765" s="43" t="s">
        <v>117</v>
      </c>
      <c r="B765" s="37" t="s">
        <v>94</v>
      </c>
      <c r="C765" s="10" t="s">
        <v>351</v>
      </c>
      <c r="D765" s="37"/>
      <c r="E765" s="44">
        <f>E766</f>
        <v>-17940</v>
      </c>
      <c r="F765" s="44"/>
    </row>
    <row r="766" spans="1:6" s="1" customFormat="1" ht="33.75" customHeight="1">
      <c r="A766" s="36" t="s">
        <v>339</v>
      </c>
      <c r="B766" s="37" t="s">
        <v>94</v>
      </c>
      <c r="C766" s="10" t="s">
        <v>351</v>
      </c>
      <c r="D766" s="37" t="s">
        <v>338</v>
      </c>
      <c r="E766" s="44">
        <f>E767</f>
        <v>-17940</v>
      </c>
      <c r="F766" s="44"/>
    </row>
    <row r="767" spans="1:6" s="1" customFormat="1" ht="20.25" customHeight="1">
      <c r="A767" s="43" t="s">
        <v>337</v>
      </c>
      <c r="B767" s="37" t="s">
        <v>94</v>
      </c>
      <c r="C767" s="10" t="s">
        <v>351</v>
      </c>
      <c r="D767" s="37" t="s">
        <v>336</v>
      </c>
      <c r="E767" s="44">
        <v>-17940</v>
      </c>
      <c r="F767" s="44"/>
    </row>
    <row r="768" spans="1:6" s="1" customFormat="1" ht="20.25" customHeight="1">
      <c r="A768" s="43" t="s">
        <v>398</v>
      </c>
      <c r="B768" s="37" t="s">
        <v>94</v>
      </c>
      <c r="C768" s="10" t="s">
        <v>352</v>
      </c>
      <c r="D768" s="37"/>
      <c r="E768" s="44">
        <f>E769</f>
        <v>0</v>
      </c>
      <c r="F768" s="44"/>
    </row>
    <row r="769" spans="1:6" s="1" customFormat="1" ht="29.25" customHeight="1">
      <c r="A769" s="60" t="s">
        <v>339</v>
      </c>
      <c r="B769" s="37" t="s">
        <v>94</v>
      </c>
      <c r="C769" s="39" t="s">
        <v>352</v>
      </c>
      <c r="D769" s="37" t="s">
        <v>338</v>
      </c>
      <c r="E769" s="44">
        <f>E770</f>
        <v>0</v>
      </c>
      <c r="F769" s="44"/>
    </row>
    <row r="770" spans="1:6" s="1" customFormat="1" ht="20.25" customHeight="1">
      <c r="A770" s="43" t="s">
        <v>337</v>
      </c>
      <c r="B770" s="37" t="s">
        <v>94</v>
      </c>
      <c r="C770" s="39" t="s">
        <v>352</v>
      </c>
      <c r="D770" s="37" t="s">
        <v>336</v>
      </c>
      <c r="E770" s="44"/>
      <c r="F770" s="44"/>
    </row>
    <row r="771" spans="1:6" s="1" customFormat="1" ht="19.5" customHeight="1">
      <c r="A771" s="43" t="s">
        <v>394</v>
      </c>
      <c r="B771" s="37" t="s">
        <v>94</v>
      </c>
      <c r="C771" s="10" t="s">
        <v>353</v>
      </c>
      <c r="D771" s="37"/>
      <c r="E771" s="44">
        <f>E772</f>
        <v>-628.5</v>
      </c>
      <c r="F771" s="44"/>
    </row>
    <row r="772" spans="1:6" s="1" customFormat="1" ht="33.75" customHeight="1">
      <c r="A772" s="36" t="s">
        <v>339</v>
      </c>
      <c r="B772" s="37" t="s">
        <v>94</v>
      </c>
      <c r="C772" s="10" t="s">
        <v>353</v>
      </c>
      <c r="D772" s="37" t="s">
        <v>338</v>
      </c>
      <c r="E772" s="44">
        <f>E773</f>
        <v>-628.5</v>
      </c>
      <c r="F772" s="44"/>
    </row>
    <row r="773" spans="1:6" s="1" customFormat="1" ht="21.75" customHeight="1">
      <c r="A773" s="43" t="s">
        <v>337</v>
      </c>
      <c r="B773" s="37" t="s">
        <v>94</v>
      </c>
      <c r="C773" s="10" t="s">
        <v>353</v>
      </c>
      <c r="D773" s="37" t="s">
        <v>336</v>
      </c>
      <c r="E773" s="44">
        <v>-628.5</v>
      </c>
      <c r="F773" s="44"/>
    </row>
    <row r="774" spans="1:6" s="1" customFormat="1" ht="30" customHeight="1">
      <c r="A774" s="43" t="s">
        <v>495</v>
      </c>
      <c r="B774" s="37" t="s">
        <v>94</v>
      </c>
      <c r="C774" s="10" t="s">
        <v>494</v>
      </c>
      <c r="D774" s="37"/>
      <c r="E774" s="44">
        <f>E775</f>
        <v>0</v>
      </c>
      <c r="F774" s="44"/>
    </row>
    <row r="775" spans="1:6" s="1" customFormat="1" ht="32.25" customHeight="1">
      <c r="A775" s="36" t="s">
        <v>339</v>
      </c>
      <c r="B775" s="37" t="s">
        <v>94</v>
      </c>
      <c r="C775" s="10" t="s">
        <v>494</v>
      </c>
      <c r="D775" s="37" t="s">
        <v>338</v>
      </c>
      <c r="E775" s="44">
        <f>E776</f>
        <v>0</v>
      </c>
      <c r="F775" s="44"/>
    </row>
    <row r="776" spans="1:6" s="1" customFormat="1" ht="18" customHeight="1">
      <c r="A776" s="43" t="s">
        <v>337</v>
      </c>
      <c r="B776" s="37" t="s">
        <v>94</v>
      </c>
      <c r="C776" s="10" t="s">
        <v>494</v>
      </c>
      <c r="D776" s="37" t="s">
        <v>336</v>
      </c>
      <c r="E776" s="44"/>
      <c r="F776" s="44"/>
    </row>
    <row r="777" spans="1:6" s="1" customFormat="1" ht="75.75" customHeight="1">
      <c r="A777" s="43" t="s">
        <v>666</v>
      </c>
      <c r="B777" s="37" t="s">
        <v>94</v>
      </c>
      <c r="C777" s="39" t="s">
        <v>667</v>
      </c>
      <c r="D777" s="37"/>
      <c r="E777" s="44">
        <f>E778</f>
        <v>0</v>
      </c>
      <c r="F777" s="44"/>
    </row>
    <row r="778" spans="1:6" s="1" customFormat="1" ht="32.25" customHeight="1">
      <c r="A778" s="60" t="s">
        <v>339</v>
      </c>
      <c r="B778" s="37" t="s">
        <v>94</v>
      </c>
      <c r="C778" s="39" t="s">
        <v>667</v>
      </c>
      <c r="D778" s="37" t="s">
        <v>338</v>
      </c>
      <c r="E778" s="44">
        <f>E779</f>
        <v>0</v>
      </c>
      <c r="F778" s="44"/>
    </row>
    <row r="779" spans="1:6" s="1" customFormat="1" ht="18" customHeight="1">
      <c r="A779" s="42" t="s">
        <v>337</v>
      </c>
      <c r="B779" s="37" t="s">
        <v>94</v>
      </c>
      <c r="C779" s="39" t="s">
        <v>667</v>
      </c>
      <c r="D779" s="37" t="s">
        <v>336</v>
      </c>
      <c r="E779" s="44"/>
      <c r="F779" s="44"/>
    </row>
    <row r="780" spans="1:6" s="1" customFormat="1" ht="18" customHeight="1">
      <c r="A780" s="80" t="s">
        <v>247</v>
      </c>
      <c r="B780" s="37" t="s">
        <v>94</v>
      </c>
      <c r="C780" s="39" t="s">
        <v>367</v>
      </c>
      <c r="D780" s="37"/>
      <c r="E780" s="44">
        <f>E781+E784</f>
        <v>0</v>
      </c>
      <c r="F780" s="44">
        <f>F781+F784</f>
        <v>0</v>
      </c>
    </row>
    <row r="781" spans="1:6" s="1" customFormat="1" ht="105.75" customHeight="1">
      <c r="A781" s="52" t="s">
        <v>520</v>
      </c>
      <c r="B781" s="37" t="s">
        <v>94</v>
      </c>
      <c r="C781" s="39" t="s">
        <v>483</v>
      </c>
      <c r="D781" s="37"/>
      <c r="E781" s="44">
        <f>E782</f>
        <v>0</v>
      </c>
      <c r="F781" s="44">
        <f>F782</f>
        <v>0</v>
      </c>
    </row>
    <row r="782" spans="1:6" s="1" customFormat="1" ht="30" customHeight="1">
      <c r="A782" s="36" t="s">
        <v>339</v>
      </c>
      <c r="B782" s="37" t="s">
        <v>94</v>
      </c>
      <c r="C782" s="39" t="s">
        <v>483</v>
      </c>
      <c r="D782" s="37" t="s">
        <v>338</v>
      </c>
      <c r="E782" s="44">
        <f>E783</f>
        <v>0</v>
      </c>
      <c r="F782" s="44">
        <f>F783</f>
        <v>0</v>
      </c>
    </row>
    <row r="783" spans="1:6" s="1" customFormat="1" ht="18" customHeight="1">
      <c r="A783" s="43" t="s">
        <v>337</v>
      </c>
      <c r="B783" s="37" t="s">
        <v>94</v>
      </c>
      <c r="C783" s="39" t="s">
        <v>483</v>
      </c>
      <c r="D783" s="37" t="s">
        <v>336</v>
      </c>
      <c r="E783" s="44"/>
      <c r="F783" s="44">
        <f>E783</f>
        <v>0</v>
      </c>
    </row>
    <row r="784" spans="1:6" s="1" customFormat="1" ht="114" customHeight="1">
      <c r="A784" s="43" t="s">
        <v>521</v>
      </c>
      <c r="B784" s="37" t="s">
        <v>94</v>
      </c>
      <c r="C784" s="39" t="s">
        <v>483</v>
      </c>
      <c r="D784" s="37"/>
      <c r="E784" s="44">
        <f>E785</f>
        <v>0</v>
      </c>
      <c r="F784" s="44"/>
    </row>
    <row r="785" spans="1:6" s="1" customFormat="1" ht="28.5" customHeight="1">
      <c r="A785" s="36" t="s">
        <v>339</v>
      </c>
      <c r="B785" s="37" t="s">
        <v>94</v>
      </c>
      <c r="C785" s="39" t="s">
        <v>483</v>
      </c>
      <c r="D785" s="37" t="s">
        <v>338</v>
      </c>
      <c r="E785" s="44">
        <f>E786</f>
        <v>0</v>
      </c>
      <c r="F785" s="44"/>
    </row>
    <row r="786" spans="1:6" s="1" customFormat="1" ht="21.75" customHeight="1">
      <c r="A786" s="42" t="s">
        <v>337</v>
      </c>
      <c r="B786" s="37" t="s">
        <v>94</v>
      </c>
      <c r="C786" s="39" t="s">
        <v>483</v>
      </c>
      <c r="D786" s="37" t="s">
        <v>336</v>
      </c>
      <c r="E786" s="44"/>
      <c r="F786" s="44"/>
    </row>
    <row r="787" spans="1:8" s="1" customFormat="1" ht="21" customHeight="1">
      <c r="A787" s="71" t="s">
        <v>100</v>
      </c>
      <c r="B787" s="63" t="s">
        <v>120</v>
      </c>
      <c r="C787" s="63"/>
      <c r="D787" s="63"/>
      <c r="E787" s="11">
        <f>E788+E880+E884</f>
        <v>707.0999999999985</v>
      </c>
      <c r="F787" s="11">
        <f>F788+F880</f>
        <v>41187</v>
      </c>
      <c r="H787" s="100"/>
    </row>
    <row r="788" spans="1:8" s="1" customFormat="1" ht="45" customHeight="1">
      <c r="A788" s="52" t="s">
        <v>271</v>
      </c>
      <c r="B788" s="38" t="s">
        <v>120</v>
      </c>
      <c r="C788" s="10" t="s">
        <v>135</v>
      </c>
      <c r="D788" s="37"/>
      <c r="E788" s="66">
        <f>E789</f>
        <v>707.0999999999985</v>
      </c>
      <c r="F788" s="66">
        <f>F789</f>
        <v>41187</v>
      </c>
      <c r="H788" s="100"/>
    </row>
    <row r="789" spans="1:6" s="1" customFormat="1" ht="16.5" customHeight="1">
      <c r="A789" s="36" t="s">
        <v>285</v>
      </c>
      <c r="B789" s="38" t="s">
        <v>120</v>
      </c>
      <c r="C789" s="10" t="s">
        <v>33</v>
      </c>
      <c r="D789" s="37"/>
      <c r="E789" s="66">
        <f>E799+E834+E802+E805+E809+E812+E818+E827+E815+E824+E821+E830+E790+E793+E796</f>
        <v>707.0999999999985</v>
      </c>
      <c r="F789" s="66">
        <f>F799+F834+F802+F805+F809+F812+F818+F827+F815+F824+F821+F830+F790+F793+F796</f>
        <v>41187</v>
      </c>
    </row>
    <row r="790" spans="1:6" s="1" customFormat="1" ht="24" customHeight="1">
      <c r="A790" s="51" t="s">
        <v>777</v>
      </c>
      <c r="B790" s="38" t="s">
        <v>120</v>
      </c>
      <c r="C790" s="39" t="s">
        <v>757</v>
      </c>
      <c r="D790" s="37"/>
      <c r="E790" s="44">
        <f>E791</f>
        <v>41187</v>
      </c>
      <c r="F790" s="44">
        <f>F791</f>
        <v>41187</v>
      </c>
    </row>
    <row r="791" spans="1:6" s="1" customFormat="1" ht="30.75" customHeight="1">
      <c r="A791" s="60" t="s">
        <v>339</v>
      </c>
      <c r="B791" s="38" t="s">
        <v>120</v>
      </c>
      <c r="C791" s="39" t="s">
        <v>757</v>
      </c>
      <c r="D791" s="37" t="s">
        <v>338</v>
      </c>
      <c r="E791" s="44">
        <f>E792</f>
        <v>41187</v>
      </c>
      <c r="F791" s="44">
        <f>F792</f>
        <v>41187</v>
      </c>
    </row>
    <row r="792" spans="1:6" s="1" customFormat="1" ht="16.5" customHeight="1">
      <c r="A792" s="60" t="s">
        <v>337</v>
      </c>
      <c r="B792" s="38" t="s">
        <v>120</v>
      </c>
      <c r="C792" s="39" t="s">
        <v>757</v>
      </c>
      <c r="D792" s="37" t="s">
        <v>336</v>
      </c>
      <c r="E792" s="44">
        <v>41187</v>
      </c>
      <c r="F792" s="44">
        <f>E792</f>
        <v>41187</v>
      </c>
    </row>
    <row r="793" spans="1:6" s="1" customFormat="1" ht="31.5" customHeight="1">
      <c r="A793" s="36" t="s">
        <v>669</v>
      </c>
      <c r="B793" s="38" t="s">
        <v>120</v>
      </c>
      <c r="C793" s="10" t="s">
        <v>664</v>
      </c>
      <c r="D793" s="37"/>
      <c r="E793" s="44">
        <f>E794</f>
        <v>0</v>
      </c>
      <c r="F793" s="44">
        <f>F794</f>
        <v>0</v>
      </c>
    </row>
    <row r="794" spans="1:6" s="1" customFormat="1" ht="30.75" customHeight="1">
      <c r="A794" s="60" t="s">
        <v>339</v>
      </c>
      <c r="B794" s="38" t="s">
        <v>120</v>
      </c>
      <c r="C794" s="10" t="s">
        <v>664</v>
      </c>
      <c r="D794" s="37" t="s">
        <v>338</v>
      </c>
      <c r="E794" s="44">
        <f>E795</f>
        <v>0</v>
      </c>
      <c r="F794" s="44">
        <f>F795</f>
        <v>0</v>
      </c>
    </row>
    <row r="795" spans="1:6" s="1" customFormat="1" ht="16.5" customHeight="1">
      <c r="A795" s="60" t="s">
        <v>337</v>
      </c>
      <c r="B795" s="38" t="s">
        <v>120</v>
      </c>
      <c r="C795" s="10" t="s">
        <v>664</v>
      </c>
      <c r="D795" s="37" t="s">
        <v>336</v>
      </c>
      <c r="E795" s="44"/>
      <c r="F795" s="44"/>
    </row>
    <row r="796" spans="1:6" s="1" customFormat="1" ht="47.25" customHeight="1">
      <c r="A796" s="36" t="s">
        <v>670</v>
      </c>
      <c r="B796" s="38" t="s">
        <v>120</v>
      </c>
      <c r="C796" s="10" t="s">
        <v>665</v>
      </c>
      <c r="D796" s="37"/>
      <c r="E796" s="44">
        <f>E797</f>
        <v>0</v>
      </c>
      <c r="F796" s="44">
        <f>F797</f>
        <v>0</v>
      </c>
    </row>
    <row r="797" spans="1:6" s="1" customFormat="1" ht="30.75" customHeight="1">
      <c r="A797" s="60" t="s">
        <v>339</v>
      </c>
      <c r="B797" s="38" t="s">
        <v>120</v>
      </c>
      <c r="C797" s="10" t="s">
        <v>665</v>
      </c>
      <c r="D797" s="37" t="s">
        <v>338</v>
      </c>
      <c r="E797" s="44">
        <f>E798</f>
        <v>0</v>
      </c>
      <c r="F797" s="44">
        <f>F798</f>
        <v>0</v>
      </c>
    </row>
    <row r="798" spans="1:6" s="1" customFormat="1" ht="16.5" customHeight="1">
      <c r="A798" s="60" t="s">
        <v>337</v>
      </c>
      <c r="B798" s="38" t="s">
        <v>120</v>
      </c>
      <c r="C798" s="10" t="s">
        <v>665</v>
      </c>
      <c r="D798" s="37" t="s">
        <v>336</v>
      </c>
      <c r="E798" s="44"/>
      <c r="F798" s="44"/>
    </row>
    <row r="799" spans="1:6" s="1" customFormat="1" ht="166.5" customHeight="1">
      <c r="A799" s="72" t="s">
        <v>278</v>
      </c>
      <c r="B799" s="38" t="s">
        <v>120</v>
      </c>
      <c r="C799" s="10" t="s">
        <v>431</v>
      </c>
      <c r="D799" s="39"/>
      <c r="E799" s="57">
        <f>E800</f>
        <v>0</v>
      </c>
      <c r="F799" s="57">
        <f>F800</f>
        <v>0</v>
      </c>
    </row>
    <row r="800" spans="1:6" s="1" customFormat="1" ht="32.25" customHeight="1">
      <c r="A800" s="36" t="s">
        <v>339</v>
      </c>
      <c r="B800" s="38" t="s">
        <v>120</v>
      </c>
      <c r="C800" s="10" t="s">
        <v>431</v>
      </c>
      <c r="D800" s="10" t="s">
        <v>338</v>
      </c>
      <c r="E800" s="57">
        <f>E801</f>
        <v>0</v>
      </c>
      <c r="F800" s="57">
        <f>F801</f>
        <v>0</v>
      </c>
    </row>
    <row r="801" spans="1:6" s="1" customFormat="1" ht="21" customHeight="1">
      <c r="A801" s="42" t="s">
        <v>337</v>
      </c>
      <c r="B801" s="38" t="s">
        <v>120</v>
      </c>
      <c r="C801" s="10" t="s">
        <v>431</v>
      </c>
      <c r="D801" s="39" t="s">
        <v>336</v>
      </c>
      <c r="E801" s="40"/>
      <c r="F801" s="40">
        <f>E801</f>
        <v>0</v>
      </c>
    </row>
    <row r="802" spans="1:6" s="1" customFormat="1" ht="150.75" customHeight="1">
      <c r="A802" s="72" t="s">
        <v>410</v>
      </c>
      <c r="B802" s="38" t="s">
        <v>120</v>
      </c>
      <c r="C802" s="48" t="s">
        <v>433</v>
      </c>
      <c r="D802" s="48"/>
      <c r="E802" s="57">
        <f>E804</f>
        <v>0</v>
      </c>
      <c r="F802" s="57">
        <f>F804</f>
        <v>0</v>
      </c>
    </row>
    <row r="803" spans="1:6" s="1" customFormat="1" ht="29.25" customHeight="1">
      <c r="A803" s="36" t="s">
        <v>339</v>
      </c>
      <c r="B803" s="38" t="s">
        <v>120</v>
      </c>
      <c r="C803" s="48" t="s">
        <v>433</v>
      </c>
      <c r="D803" s="48" t="s">
        <v>338</v>
      </c>
      <c r="E803" s="57">
        <f>E804</f>
        <v>0</v>
      </c>
      <c r="F803" s="57">
        <f>F804</f>
        <v>0</v>
      </c>
    </row>
    <row r="804" spans="1:6" s="1" customFormat="1" ht="30" customHeight="1">
      <c r="A804" s="73" t="s">
        <v>47</v>
      </c>
      <c r="B804" s="38" t="s">
        <v>120</v>
      </c>
      <c r="C804" s="48" t="s">
        <v>433</v>
      </c>
      <c r="D804" s="47" t="s">
        <v>83</v>
      </c>
      <c r="E804" s="40"/>
      <c r="F804" s="40">
        <f>E804</f>
        <v>0</v>
      </c>
    </row>
    <row r="805" spans="1:6" s="1" customFormat="1" ht="107.25" customHeight="1">
      <c r="A805" s="72" t="s">
        <v>276</v>
      </c>
      <c r="B805" s="38" t="s">
        <v>120</v>
      </c>
      <c r="C805" s="10" t="s">
        <v>432</v>
      </c>
      <c r="D805" s="10"/>
      <c r="E805" s="57">
        <f>E806</f>
        <v>0</v>
      </c>
      <c r="F805" s="57">
        <f>F806</f>
        <v>0</v>
      </c>
    </row>
    <row r="806" spans="1:6" s="1" customFormat="1" ht="30" customHeight="1">
      <c r="A806" s="36" t="s">
        <v>339</v>
      </c>
      <c r="B806" s="38" t="s">
        <v>120</v>
      </c>
      <c r="C806" s="10" t="s">
        <v>432</v>
      </c>
      <c r="D806" s="10" t="s">
        <v>338</v>
      </c>
      <c r="E806" s="57">
        <f>E807+E808</f>
        <v>0</v>
      </c>
      <c r="F806" s="57">
        <f>F807+F808</f>
        <v>0</v>
      </c>
    </row>
    <row r="807" spans="1:6" s="1" customFormat="1" ht="21.75" customHeight="1">
      <c r="A807" s="42" t="s">
        <v>337</v>
      </c>
      <c r="B807" s="38" t="s">
        <v>120</v>
      </c>
      <c r="C807" s="10" t="s">
        <v>432</v>
      </c>
      <c r="D807" s="39" t="s">
        <v>336</v>
      </c>
      <c r="E807" s="40"/>
      <c r="F807" s="40">
        <f>E807</f>
        <v>0</v>
      </c>
    </row>
    <row r="808" spans="1:6" s="1" customFormat="1" ht="30" customHeight="1">
      <c r="A808" s="67" t="s">
        <v>47</v>
      </c>
      <c r="B808" s="38" t="s">
        <v>120</v>
      </c>
      <c r="C808" s="10" t="s">
        <v>432</v>
      </c>
      <c r="D808" s="10" t="s">
        <v>83</v>
      </c>
      <c r="E808" s="57"/>
      <c r="F808" s="57">
        <f>E808</f>
        <v>0</v>
      </c>
    </row>
    <row r="809" spans="1:6" s="1" customFormat="1" ht="58.5" customHeight="1">
      <c r="A809" s="41" t="s">
        <v>413</v>
      </c>
      <c r="B809" s="38" t="s">
        <v>120</v>
      </c>
      <c r="C809" s="10" t="s">
        <v>434</v>
      </c>
      <c r="D809" s="10"/>
      <c r="E809" s="57">
        <f>E811</f>
        <v>0</v>
      </c>
      <c r="F809" s="57">
        <f>F811</f>
        <v>0</v>
      </c>
    </row>
    <row r="810" spans="1:6" s="1" customFormat="1" ht="32.25" customHeight="1">
      <c r="A810" s="60" t="s">
        <v>339</v>
      </c>
      <c r="B810" s="38" t="s">
        <v>120</v>
      </c>
      <c r="C810" s="10" t="s">
        <v>434</v>
      </c>
      <c r="D810" s="39" t="s">
        <v>338</v>
      </c>
      <c r="E810" s="40">
        <f>E811</f>
        <v>0</v>
      </c>
      <c r="F810" s="40">
        <f>F811</f>
        <v>0</v>
      </c>
    </row>
    <row r="811" spans="1:6" s="1" customFormat="1" ht="24" customHeight="1">
      <c r="A811" s="42" t="s">
        <v>337</v>
      </c>
      <c r="B811" s="38" t="s">
        <v>120</v>
      </c>
      <c r="C811" s="10" t="s">
        <v>434</v>
      </c>
      <c r="D811" s="39" t="s">
        <v>336</v>
      </c>
      <c r="E811" s="40"/>
      <c r="F811" s="40">
        <f>E811</f>
        <v>0</v>
      </c>
    </row>
    <row r="812" spans="1:6" s="1" customFormat="1" ht="90" customHeight="1">
      <c r="A812" s="72" t="s">
        <v>420</v>
      </c>
      <c r="B812" s="38" t="s">
        <v>120</v>
      </c>
      <c r="C812" s="10" t="s">
        <v>435</v>
      </c>
      <c r="D812" s="48"/>
      <c r="E812" s="53">
        <f>E813</f>
        <v>0</v>
      </c>
      <c r="F812" s="53">
        <f>F813</f>
        <v>0</v>
      </c>
    </row>
    <row r="813" spans="1:6" s="1" customFormat="1" ht="30" customHeight="1">
      <c r="A813" s="60" t="s">
        <v>339</v>
      </c>
      <c r="B813" s="38" t="s">
        <v>120</v>
      </c>
      <c r="C813" s="10" t="s">
        <v>435</v>
      </c>
      <c r="D813" s="39" t="s">
        <v>338</v>
      </c>
      <c r="E813" s="40">
        <f>E814</f>
        <v>0</v>
      </c>
      <c r="F813" s="40">
        <f>F814</f>
        <v>0</v>
      </c>
    </row>
    <row r="814" spans="1:6" s="1" customFormat="1" ht="33" customHeight="1">
      <c r="A814" s="73" t="s">
        <v>47</v>
      </c>
      <c r="B814" s="38" t="s">
        <v>120</v>
      </c>
      <c r="C814" s="10" t="s">
        <v>435</v>
      </c>
      <c r="D814" s="39" t="s">
        <v>83</v>
      </c>
      <c r="E814" s="40"/>
      <c r="F814" s="40">
        <f>E814</f>
        <v>0</v>
      </c>
    </row>
    <row r="815" spans="1:6" s="1" customFormat="1" ht="62.25" customHeight="1">
      <c r="A815" s="42" t="s">
        <v>755</v>
      </c>
      <c r="B815" s="38" t="s">
        <v>120</v>
      </c>
      <c r="C815" s="39" t="s">
        <v>757</v>
      </c>
      <c r="D815" s="37"/>
      <c r="E815" s="44">
        <f>E816</f>
        <v>0</v>
      </c>
      <c r="F815" s="44">
        <f>F816</f>
        <v>0</v>
      </c>
    </row>
    <row r="816" spans="1:6" s="1" customFormat="1" ht="33" customHeight="1">
      <c r="A816" s="60" t="s">
        <v>339</v>
      </c>
      <c r="B816" s="38" t="s">
        <v>120</v>
      </c>
      <c r="C816" s="39" t="s">
        <v>757</v>
      </c>
      <c r="D816" s="37" t="s">
        <v>338</v>
      </c>
      <c r="E816" s="44">
        <f>E817</f>
        <v>0</v>
      </c>
      <c r="F816" s="44">
        <f>F817</f>
        <v>0</v>
      </c>
    </row>
    <row r="817" spans="1:6" s="1" customFormat="1" ht="20.25" customHeight="1">
      <c r="A817" s="42" t="s">
        <v>337</v>
      </c>
      <c r="B817" s="38" t="s">
        <v>120</v>
      </c>
      <c r="C817" s="39" t="s">
        <v>757</v>
      </c>
      <c r="D817" s="37" t="s">
        <v>336</v>
      </c>
      <c r="E817" s="44"/>
      <c r="F817" s="44">
        <f>E817</f>
        <v>0</v>
      </c>
    </row>
    <row r="818" spans="1:6" s="1" customFormat="1" ht="61.5" customHeight="1">
      <c r="A818" s="43" t="s">
        <v>282</v>
      </c>
      <c r="B818" s="38" t="s">
        <v>120</v>
      </c>
      <c r="C818" s="10" t="s">
        <v>228</v>
      </c>
      <c r="D818" s="39"/>
      <c r="E818" s="40">
        <f>E819</f>
        <v>0</v>
      </c>
      <c r="F818" s="40">
        <f>F819</f>
        <v>0</v>
      </c>
    </row>
    <row r="819" spans="1:6" s="1" customFormat="1" ht="32.25" customHeight="1">
      <c r="A819" s="36" t="s">
        <v>339</v>
      </c>
      <c r="B819" s="38" t="s">
        <v>120</v>
      </c>
      <c r="C819" s="10" t="s">
        <v>228</v>
      </c>
      <c r="D819" s="39" t="s">
        <v>338</v>
      </c>
      <c r="E819" s="40">
        <f>E820</f>
        <v>0</v>
      </c>
      <c r="F819" s="40">
        <f>F820</f>
        <v>0</v>
      </c>
    </row>
    <row r="820" spans="1:6" s="1" customFormat="1" ht="21" customHeight="1">
      <c r="A820" s="43" t="s">
        <v>337</v>
      </c>
      <c r="B820" s="38" t="s">
        <v>120</v>
      </c>
      <c r="C820" s="10" t="s">
        <v>228</v>
      </c>
      <c r="D820" s="39" t="s">
        <v>336</v>
      </c>
      <c r="E820" s="40"/>
      <c r="F820" s="40">
        <f>E820</f>
        <v>0</v>
      </c>
    </row>
    <row r="821" spans="1:6" s="1" customFormat="1" ht="30.75" customHeight="1">
      <c r="A821" s="43" t="s">
        <v>542</v>
      </c>
      <c r="B821" s="38" t="s">
        <v>120</v>
      </c>
      <c r="C821" s="10" t="s">
        <v>714</v>
      </c>
      <c r="D821" s="39"/>
      <c r="E821" s="40">
        <f>E822</f>
        <v>0</v>
      </c>
      <c r="F821" s="40">
        <f>F822</f>
        <v>0</v>
      </c>
    </row>
    <row r="822" spans="1:6" s="1" customFormat="1" ht="31.5" customHeight="1">
      <c r="A822" s="36" t="s">
        <v>339</v>
      </c>
      <c r="B822" s="38" t="s">
        <v>120</v>
      </c>
      <c r="C822" s="10" t="s">
        <v>714</v>
      </c>
      <c r="D822" s="39" t="s">
        <v>338</v>
      </c>
      <c r="E822" s="40">
        <f>E823</f>
        <v>0</v>
      </c>
      <c r="F822" s="40">
        <f>F823</f>
        <v>0</v>
      </c>
    </row>
    <row r="823" spans="1:6" s="1" customFormat="1" ht="21" customHeight="1">
      <c r="A823" s="43" t="s">
        <v>337</v>
      </c>
      <c r="B823" s="38" t="s">
        <v>120</v>
      </c>
      <c r="C823" s="10" t="s">
        <v>714</v>
      </c>
      <c r="D823" s="39" t="s">
        <v>336</v>
      </c>
      <c r="E823" s="40"/>
      <c r="F823" s="40">
        <f>E823</f>
        <v>0</v>
      </c>
    </row>
    <row r="824" spans="1:6" s="1" customFormat="1" ht="31.5" customHeight="1">
      <c r="A824" s="43" t="s">
        <v>508</v>
      </c>
      <c r="B824" s="38" t="s">
        <v>120</v>
      </c>
      <c r="C824" s="39" t="s">
        <v>733</v>
      </c>
      <c r="D824" s="37"/>
      <c r="E824" s="44">
        <f>E825</f>
        <v>0</v>
      </c>
      <c r="F824" s="40">
        <f>F825</f>
        <v>0</v>
      </c>
    </row>
    <row r="825" spans="1:6" s="1" customFormat="1" ht="32.25" customHeight="1">
      <c r="A825" s="46" t="s">
        <v>325</v>
      </c>
      <c r="B825" s="38" t="s">
        <v>120</v>
      </c>
      <c r="C825" s="39" t="s">
        <v>733</v>
      </c>
      <c r="D825" s="37" t="s">
        <v>392</v>
      </c>
      <c r="E825" s="44">
        <f>E826</f>
        <v>0</v>
      </c>
      <c r="F825" s="44">
        <f>F826</f>
        <v>0</v>
      </c>
    </row>
    <row r="826" spans="1:6" s="1" customFormat="1" ht="104.25" customHeight="1">
      <c r="A826" s="42" t="s">
        <v>7</v>
      </c>
      <c r="B826" s="38" t="s">
        <v>120</v>
      </c>
      <c r="C826" s="39" t="s">
        <v>733</v>
      </c>
      <c r="D826" s="37" t="s">
        <v>6</v>
      </c>
      <c r="E826" s="44"/>
      <c r="F826" s="44">
        <f>E826</f>
        <v>0</v>
      </c>
    </row>
    <row r="827" spans="1:6" s="1" customFormat="1" ht="48.75" customHeight="1">
      <c r="A827" s="42" t="s">
        <v>630</v>
      </c>
      <c r="B827" s="38" t="s">
        <v>120</v>
      </c>
      <c r="C827" s="39" t="s">
        <v>732</v>
      </c>
      <c r="D827" s="37"/>
      <c r="E827" s="40">
        <f>E828</f>
        <v>0</v>
      </c>
      <c r="F827" s="40">
        <f>F828</f>
        <v>0</v>
      </c>
    </row>
    <row r="828" spans="1:6" s="1" customFormat="1" ht="33" customHeight="1">
      <c r="A828" s="46" t="s">
        <v>325</v>
      </c>
      <c r="B828" s="38" t="s">
        <v>120</v>
      </c>
      <c r="C828" s="39" t="s">
        <v>732</v>
      </c>
      <c r="D828" s="37" t="s">
        <v>392</v>
      </c>
      <c r="E828" s="44">
        <f>E829</f>
        <v>0</v>
      </c>
      <c r="F828" s="44">
        <f>F829</f>
        <v>0</v>
      </c>
    </row>
    <row r="829" spans="1:6" s="1" customFormat="1" ht="107.25" customHeight="1">
      <c r="A829" s="42" t="s">
        <v>7</v>
      </c>
      <c r="B829" s="38" t="s">
        <v>120</v>
      </c>
      <c r="C829" s="39" t="s">
        <v>732</v>
      </c>
      <c r="D829" s="37" t="s">
        <v>6</v>
      </c>
      <c r="E829" s="44"/>
      <c r="F829" s="44">
        <f>E829</f>
        <v>0</v>
      </c>
    </row>
    <row r="830" spans="1:6" s="1" customFormat="1" ht="48" customHeight="1">
      <c r="A830" s="42" t="s">
        <v>631</v>
      </c>
      <c r="B830" s="38" t="s">
        <v>120</v>
      </c>
      <c r="C830" s="39" t="s">
        <v>732</v>
      </c>
      <c r="D830" s="37"/>
      <c r="E830" s="40">
        <f>E831</f>
        <v>0</v>
      </c>
      <c r="F830" s="40">
        <f>F831</f>
        <v>0</v>
      </c>
    </row>
    <row r="831" spans="1:6" s="1" customFormat="1" ht="32.25" customHeight="1">
      <c r="A831" s="46" t="s">
        <v>325</v>
      </c>
      <c r="B831" s="38" t="s">
        <v>120</v>
      </c>
      <c r="C831" s="39" t="s">
        <v>732</v>
      </c>
      <c r="D831" s="37" t="s">
        <v>392</v>
      </c>
      <c r="E831" s="44">
        <f>E832</f>
        <v>0</v>
      </c>
      <c r="F831" s="44">
        <f>F832</f>
        <v>0</v>
      </c>
    </row>
    <row r="832" spans="1:6" s="1" customFormat="1" ht="108.75" customHeight="1">
      <c r="A832" s="42" t="s">
        <v>7</v>
      </c>
      <c r="B832" s="38" t="s">
        <v>120</v>
      </c>
      <c r="C832" s="39" t="s">
        <v>732</v>
      </c>
      <c r="D832" s="37" t="s">
        <v>6</v>
      </c>
      <c r="E832" s="44"/>
      <c r="F832" s="44">
        <f>E832</f>
        <v>0</v>
      </c>
    </row>
    <row r="833" spans="1:6" s="2" customFormat="1" ht="24.75" customHeight="1">
      <c r="A833" s="36" t="s">
        <v>285</v>
      </c>
      <c r="B833" s="70" t="s">
        <v>120</v>
      </c>
      <c r="C833" s="48" t="s">
        <v>33</v>
      </c>
      <c r="D833" s="69"/>
      <c r="E833" s="50">
        <f>E834</f>
        <v>-40479.9</v>
      </c>
      <c r="F833" s="50">
        <f>F834</f>
        <v>0</v>
      </c>
    </row>
    <row r="834" spans="1:6" s="1" customFormat="1" ht="19.5" customHeight="1">
      <c r="A834" s="75" t="s">
        <v>100</v>
      </c>
      <c r="B834" s="38" t="s">
        <v>120</v>
      </c>
      <c r="C834" s="10" t="s">
        <v>33</v>
      </c>
      <c r="D834" s="48"/>
      <c r="E834" s="40">
        <f>E850+E853+E862+E865+E838+E847+E835+E871+E844+E877+E868+E841+E874</f>
        <v>-40479.9</v>
      </c>
      <c r="F834" s="40">
        <f>F850+F853+F862+F865+F838+F847+F835+F871+F844+F877</f>
        <v>0</v>
      </c>
    </row>
    <row r="835" spans="1:6" s="1" customFormat="1" ht="59.25" customHeight="1">
      <c r="A835" s="46" t="s">
        <v>440</v>
      </c>
      <c r="B835" s="38" t="s">
        <v>120</v>
      </c>
      <c r="C835" s="39" t="s">
        <v>227</v>
      </c>
      <c r="D835" s="48"/>
      <c r="E835" s="40">
        <f>E836</f>
        <v>0</v>
      </c>
      <c r="F835" s="57"/>
    </row>
    <row r="836" spans="1:6" s="1" customFormat="1" ht="32.25" customHeight="1">
      <c r="A836" s="60" t="s">
        <v>339</v>
      </c>
      <c r="B836" s="38" t="s">
        <v>120</v>
      </c>
      <c r="C836" s="39" t="s">
        <v>227</v>
      </c>
      <c r="D836" s="48" t="s">
        <v>338</v>
      </c>
      <c r="E836" s="40">
        <f>E837</f>
        <v>0</v>
      </c>
      <c r="F836" s="57"/>
    </row>
    <row r="837" spans="1:6" s="1" customFormat="1" ht="24" customHeight="1">
      <c r="A837" s="43" t="s">
        <v>337</v>
      </c>
      <c r="B837" s="38" t="s">
        <v>120</v>
      </c>
      <c r="C837" s="39" t="s">
        <v>227</v>
      </c>
      <c r="D837" s="48" t="s">
        <v>336</v>
      </c>
      <c r="E837" s="40"/>
      <c r="F837" s="57"/>
    </row>
    <row r="838" spans="1:6" s="1" customFormat="1" ht="60.75" customHeight="1">
      <c r="A838" s="43" t="s">
        <v>329</v>
      </c>
      <c r="B838" s="38" t="s">
        <v>120</v>
      </c>
      <c r="C838" s="39" t="s">
        <v>228</v>
      </c>
      <c r="D838" s="10"/>
      <c r="E838" s="40">
        <f>E839</f>
        <v>0</v>
      </c>
      <c r="F838" s="57"/>
    </row>
    <row r="839" spans="1:6" s="1" customFormat="1" ht="30.75" customHeight="1">
      <c r="A839" s="60" t="s">
        <v>339</v>
      </c>
      <c r="B839" s="38" t="s">
        <v>120</v>
      </c>
      <c r="C839" s="39" t="s">
        <v>228</v>
      </c>
      <c r="D839" s="37" t="s">
        <v>338</v>
      </c>
      <c r="E839" s="40">
        <f>E840</f>
        <v>0</v>
      </c>
      <c r="F839" s="40"/>
    </row>
    <row r="840" spans="1:6" s="1" customFormat="1" ht="25.5" customHeight="1">
      <c r="A840" s="43" t="s">
        <v>337</v>
      </c>
      <c r="B840" s="38" t="s">
        <v>120</v>
      </c>
      <c r="C840" s="39" t="s">
        <v>228</v>
      </c>
      <c r="D840" s="37" t="s">
        <v>336</v>
      </c>
      <c r="E840" s="40"/>
      <c r="F840" s="57"/>
    </row>
    <row r="841" spans="1:6" s="1" customFormat="1" ht="32.25" customHeight="1">
      <c r="A841" s="43" t="s">
        <v>668</v>
      </c>
      <c r="B841" s="38" t="s">
        <v>120</v>
      </c>
      <c r="C841" s="10" t="s">
        <v>714</v>
      </c>
      <c r="D841" s="39"/>
      <c r="E841" s="40">
        <f>E842</f>
        <v>0</v>
      </c>
      <c r="F841" s="57"/>
    </row>
    <row r="842" spans="1:6" s="1" customFormat="1" ht="29.25" customHeight="1">
      <c r="A842" s="36" t="s">
        <v>339</v>
      </c>
      <c r="B842" s="38" t="s">
        <v>120</v>
      </c>
      <c r="C842" s="10" t="s">
        <v>714</v>
      </c>
      <c r="D842" s="39" t="s">
        <v>338</v>
      </c>
      <c r="E842" s="40">
        <f>E843</f>
        <v>0</v>
      </c>
      <c r="F842" s="57"/>
    </row>
    <row r="843" spans="1:6" s="1" customFormat="1" ht="20.25" customHeight="1">
      <c r="A843" s="43" t="s">
        <v>337</v>
      </c>
      <c r="B843" s="38" t="s">
        <v>120</v>
      </c>
      <c r="C843" s="10" t="s">
        <v>714</v>
      </c>
      <c r="D843" s="39" t="s">
        <v>336</v>
      </c>
      <c r="E843" s="40"/>
      <c r="F843" s="57"/>
    </row>
    <row r="844" spans="1:6" s="1" customFormat="1" ht="60.75" customHeight="1">
      <c r="A844" s="43" t="s">
        <v>480</v>
      </c>
      <c r="B844" s="38" t="s">
        <v>120</v>
      </c>
      <c r="C844" s="39" t="s">
        <v>481</v>
      </c>
      <c r="D844" s="10"/>
      <c r="E844" s="40">
        <f>E845</f>
        <v>0</v>
      </c>
      <c r="F844" s="57"/>
    </row>
    <row r="845" spans="1:6" s="1" customFormat="1" ht="30.75" customHeight="1">
      <c r="A845" s="60" t="s">
        <v>339</v>
      </c>
      <c r="B845" s="38" t="s">
        <v>120</v>
      </c>
      <c r="C845" s="39" t="s">
        <v>481</v>
      </c>
      <c r="D845" s="37" t="s">
        <v>338</v>
      </c>
      <c r="E845" s="40">
        <f>E846</f>
        <v>0</v>
      </c>
      <c r="F845" s="40"/>
    </row>
    <row r="846" spans="1:6" s="1" customFormat="1" ht="25.5" customHeight="1">
      <c r="A846" s="43" t="s">
        <v>337</v>
      </c>
      <c r="B846" s="38" t="s">
        <v>120</v>
      </c>
      <c r="C846" s="39" t="s">
        <v>481</v>
      </c>
      <c r="D846" s="37" t="s">
        <v>336</v>
      </c>
      <c r="E846" s="40"/>
      <c r="F846" s="57"/>
    </row>
    <row r="847" spans="1:6" s="1" customFormat="1" ht="33.75" customHeight="1">
      <c r="A847" s="36" t="s">
        <v>400</v>
      </c>
      <c r="B847" s="38" t="s">
        <v>120</v>
      </c>
      <c r="C847" s="10" t="s">
        <v>354</v>
      </c>
      <c r="D847" s="37"/>
      <c r="E847" s="40">
        <f>E848</f>
        <v>0</v>
      </c>
      <c r="F847" s="57"/>
    </row>
    <row r="848" spans="1:6" s="1" customFormat="1" ht="33" customHeight="1">
      <c r="A848" s="60" t="s">
        <v>339</v>
      </c>
      <c r="B848" s="38" t="s">
        <v>120</v>
      </c>
      <c r="C848" s="39" t="s">
        <v>354</v>
      </c>
      <c r="D848" s="37" t="s">
        <v>338</v>
      </c>
      <c r="E848" s="40">
        <f>E849</f>
        <v>0</v>
      </c>
      <c r="F848" s="40"/>
    </row>
    <row r="849" spans="1:6" s="1" customFormat="1" ht="27.75" customHeight="1">
      <c r="A849" s="43" t="s">
        <v>337</v>
      </c>
      <c r="B849" s="38" t="s">
        <v>120</v>
      </c>
      <c r="C849" s="10" t="s">
        <v>354</v>
      </c>
      <c r="D849" s="37" t="s">
        <v>336</v>
      </c>
      <c r="E849" s="40"/>
      <c r="F849" s="57"/>
    </row>
    <row r="850" spans="1:6" s="1" customFormat="1" ht="32.25" customHeight="1">
      <c r="A850" s="42" t="s">
        <v>401</v>
      </c>
      <c r="B850" s="38" t="s">
        <v>120</v>
      </c>
      <c r="C850" s="39" t="s">
        <v>355</v>
      </c>
      <c r="D850" s="37"/>
      <c r="E850" s="40">
        <f>E851</f>
        <v>-41187</v>
      </c>
      <c r="F850" s="40"/>
    </row>
    <row r="851" spans="1:6" s="1" customFormat="1" ht="32.25" customHeight="1">
      <c r="A851" s="36" t="s">
        <v>339</v>
      </c>
      <c r="B851" s="38" t="s">
        <v>120</v>
      </c>
      <c r="C851" s="39" t="s">
        <v>355</v>
      </c>
      <c r="D851" s="37" t="s">
        <v>338</v>
      </c>
      <c r="E851" s="40">
        <f>E852</f>
        <v>-41187</v>
      </c>
      <c r="F851" s="57"/>
    </row>
    <row r="852" spans="1:6" s="1" customFormat="1" ht="27" customHeight="1">
      <c r="A852" s="42" t="s">
        <v>337</v>
      </c>
      <c r="B852" s="38" t="s">
        <v>120</v>
      </c>
      <c r="C852" s="39" t="s">
        <v>355</v>
      </c>
      <c r="D852" s="37" t="s">
        <v>336</v>
      </c>
      <c r="E852" s="40">
        <v>-41187</v>
      </c>
      <c r="F852" s="40"/>
    </row>
    <row r="853" spans="1:6" s="1" customFormat="1" ht="25.5" customHeight="1">
      <c r="A853" s="43" t="s">
        <v>398</v>
      </c>
      <c r="B853" s="38" t="s">
        <v>120</v>
      </c>
      <c r="C853" s="10" t="s">
        <v>356</v>
      </c>
      <c r="D853" s="69"/>
      <c r="E853" s="40">
        <f>E859+E854+E856</f>
        <v>78.6</v>
      </c>
      <c r="F853" s="57"/>
    </row>
    <row r="854" spans="1:6" s="1" customFormat="1" ht="24" customHeight="1">
      <c r="A854" s="46" t="s">
        <v>174</v>
      </c>
      <c r="B854" s="38" t="s">
        <v>120</v>
      </c>
      <c r="C854" s="10" t="s">
        <v>356</v>
      </c>
      <c r="D854" s="37" t="s">
        <v>173</v>
      </c>
      <c r="E854" s="40">
        <f>E855</f>
        <v>0.6</v>
      </c>
      <c r="F854" s="57"/>
    </row>
    <row r="855" spans="1:6" s="1" customFormat="1" ht="30" customHeight="1">
      <c r="A855" s="46" t="s">
        <v>176</v>
      </c>
      <c r="B855" s="38" t="s">
        <v>120</v>
      </c>
      <c r="C855" s="10" t="s">
        <v>356</v>
      </c>
      <c r="D855" s="37" t="s">
        <v>175</v>
      </c>
      <c r="E855" s="40">
        <v>0.6</v>
      </c>
      <c r="F855" s="57"/>
    </row>
    <row r="856" spans="1:6" s="1" customFormat="1" ht="30" customHeight="1">
      <c r="A856" s="46" t="s">
        <v>42</v>
      </c>
      <c r="B856" s="38" t="s">
        <v>120</v>
      </c>
      <c r="C856" s="10" t="s">
        <v>356</v>
      </c>
      <c r="D856" s="37" t="s">
        <v>347</v>
      </c>
      <c r="E856" s="40">
        <f>E857+E858</f>
        <v>153.8</v>
      </c>
      <c r="F856" s="57"/>
    </row>
    <row r="857" spans="1:6" s="1" customFormat="1" ht="30" customHeight="1">
      <c r="A857" s="46" t="s">
        <v>780</v>
      </c>
      <c r="B857" s="38" t="s">
        <v>120</v>
      </c>
      <c r="C857" s="10" t="s">
        <v>356</v>
      </c>
      <c r="D857" s="37" t="s">
        <v>778</v>
      </c>
      <c r="E857" s="40">
        <v>36</v>
      </c>
      <c r="F857" s="57"/>
    </row>
    <row r="858" spans="1:6" s="1" customFormat="1" ht="30" customHeight="1">
      <c r="A858" s="46" t="s">
        <v>781</v>
      </c>
      <c r="B858" s="38" t="s">
        <v>120</v>
      </c>
      <c r="C858" s="10" t="s">
        <v>356</v>
      </c>
      <c r="D858" s="37" t="s">
        <v>779</v>
      </c>
      <c r="E858" s="40">
        <v>117.8</v>
      </c>
      <c r="F858" s="57"/>
    </row>
    <row r="859" spans="1:6" s="1" customFormat="1" ht="32.25" customHeight="1">
      <c r="A859" s="36" t="s">
        <v>339</v>
      </c>
      <c r="B859" s="38" t="s">
        <v>120</v>
      </c>
      <c r="C859" s="10" t="s">
        <v>356</v>
      </c>
      <c r="D859" s="37" t="s">
        <v>338</v>
      </c>
      <c r="E859" s="40">
        <f>E860+E861</f>
        <v>-75.80000000000001</v>
      </c>
      <c r="F859" s="57"/>
    </row>
    <row r="860" spans="1:6" s="1" customFormat="1" ht="24.75" customHeight="1">
      <c r="A860" s="43" t="s">
        <v>337</v>
      </c>
      <c r="B860" s="38" t="s">
        <v>120</v>
      </c>
      <c r="C860" s="10" t="s">
        <v>356</v>
      </c>
      <c r="D860" s="37" t="s">
        <v>336</v>
      </c>
      <c r="E860" s="40">
        <f>78.6-0.6-153.8</f>
        <v>-75.80000000000001</v>
      </c>
      <c r="F860" s="57"/>
    </row>
    <row r="861" spans="1:6" s="1" customFormat="1" ht="32.25" customHeight="1">
      <c r="A861" s="73" t="s">
        <v>47</v>
      </c>
      <c r="B861" s="38" t="s">
        <v>120</v>
      </c>
      <c r="C861" s="10" t="s">
        <v>356</v>
      </c>
      <c r="D861" s="37" t="s">
        <v>83</v>
      </c>
      <c r="E861" s="40"/>
      <c r="F861" s="57"/>
    </row>
    <row r="862" spans="1:6" s="1" customFormat="1" ht="24" customHeight="1">
      <c r="A862" s="42" t="s">
        <v>394</v>
      </c>
      <c r="B862" s="38" t="s">
        <v>120</v>
      </c>
      <c r="C862" s="39" t="s">
        <v>357</v>
      </c>
      <c r="D862" s="37"/>
      <c r="E862" s="40">
        <f>E863</f>
        <v>628.5</v>
      </c>
      <c r="F862" s="40"/>
    </row>
    <row r="863" spans="1:6" s="1" customFormat="1" ht="32.25" customHeight="1">
      <c r="A863" s="36" t="s">
        <v>339</v>
      </c>
      <c r="B863" s="38" t="s">
        <v>120</v>
      </c>
      <c r="C863" s="10" t="s">
        <v>357</v>
      </c>
      <c r="D863" s="37" t="s">
        <v>338</v>
      </c>
      <c r="E863" s="40">
        <f>E864</f>
        <v>628.5</v>
      </c>
      <c r="F863" s="57"/>
    </row>
    <row r="864" spans="1:6" s="1" customFormat="1" ht="22.5" customHeight="1">
      <c r="A864" s="43" t="s">
        <v>337</v>
      </c>
      <c r="B864" s="38" t="s">
        <v>120</v>
      </c>
      <c r="C864" s="10" t="s">
        <v>357</v>
      </c>
      <c r="D864" s="37" t="s">
        <v>336</v>
      </c>
      <c r="E864" s="40">
        <v>628.5</v>
      </c>
      <c r="F864" s="57"/>
    </row>
    <row r="865" spans="1:6" s="1" customFormat="1" ht="32.25" customHeight="1">
      <c r="A865" s="46" t="s">
        <v>495</v>
      </c>
      <c r="B865" s="38" t="s">
        <v>120</v>
      </c>
      <c r="C865" s="39" t="s">
        <v>522</v>
      </c>
      <c r="D865" s="37"/>
      <c r="E865" s="40">
        <f>E866</f>
        <v>0</v>
      </c>
      <c r="F865" s="57"/>
    </row>
    <row r="866" spans="1:6" s="1" customFormat="1" ht="32.25" customHeight="1">
      <c r="A866" s="36" t="s">
        <v>339</v>
      </c>
      <c r="B866" s="38" t="s">
        <v>120</v>
      </c>
      <c r="C866" s="39" t="s">
        <v>522</v>
      </c>
      <c r="D866" s="37" t="s">
        <v>338</v>
      </c>
      <c r="E866" s="40">
        <f>E867</f>
        <v>0</v>
      </c>
      <c r="F866" s="57"/>
    </row>
    <row r="867" spans="1:6" s="1" customFormat="1" ht="24.75" customHeight="1">
      <c r="A867" s="42" t="s">
        <v>337</v>
      </c>
      <c r="B867" s="38" t="s">
        <v>120</v>
      </c>
      <c r="C867" s="39" t="s">
        <v>522</v>
      </c>
      <c r="D867" s="37" t="s">
        <v>336</v>
      </c>
      <c r="E867" s="40">
        <f>300-300</f>
        <v>0</v>
      </c>
      <c r="F867" s="40"/>
    </row>
    <row r="868" spans="1:6" s="1" customFormat="1" ht="49.5" customHeight="1">
      <c r="A868" s="42" t="s">
        <v>633</v>
      </c>
      <c r="B868" s="38" t="s">
        <v>120</v>
      </c>
      <c r="C868" s="39" t="s">
        <v>732</v>
      </c>
      <c r="D868" s="37"/>
      <c r="E868" s="44">
        <f>E869</f>
        <v>0</v>
      </c>
      <c r="F868" s="44">
        <f>F869</f>
        <v>0</v>
      </c>
    </row>
    <row r="869" spans="1:6" s="1" customFormat="1" ht="33" customHeight="1">
      <c r="A869" s="46" t="s">
        <v>325</v>
      </c>
      <c r="B869" s="38" t="s">
        <v>120</v>
      </c>
      <c r="C869" s="39" t="s">
        <v>732</v>
      </c>
      <c r="D869" s="37" t="s">
        <v>392</v>
      </c>
      <c r="E869" s="44">
        <f>E870</f>
        <v>0</v>
      </c>
      <c r="F869" s="44">
        <f>F870</f>
        <v>0</v>
      </c>
    </row>
    <row r="870" spans="1:6" s="1" customFormat="1" ht="105.75" customHeight="1">
      <c r="A870" s="42" t="s">
        <v>7</v>
      </c>
      <c r="B870" s="38" t="s">
        <v>120</v>
      </c>
      <c r="C870" s="39" t="s">
        <v>732</v>
      </c>
      <c r="D870" s="37" t="s">
        <v>6</v>
      </c>
      <c r="E870" s="44"/>
      <c r="F870" s="44"/>
    </row>
    <row r="871" spans="1:6" s="1" customFormat="1" ht="45.75" customHeight="1">
      <c r="A871" s="42" t="s">
        <v>632</v>
      </c>
      <c r="B871" s="38" t="s">
        <v>120</v>
      </c>
      <c r="C871" s="39" t="s">
        <v>732</v>
      </c>
      <c r="D871" s="37"/>
      <c r="E871" s="44">
        <f>E872</f>
        <v>0</v>
      </c>
      <c r="F871" s="44">
        <f>F872</f>
        <v>0</v>
      </c>
    </row>
    <row r="872" spans="1:6" s="1" customFormat="1" ht="32.25" customHeight="1">
      <c r="A872" s="46" t="s">
        <v>325</v>
      </c>
      <c r="B872" s="38" t="s">
        <v>120</v>
      </c>
      <c r="C872" s="39" t="s">
        <v>732</v>
      </c>
      <c r="D872" s="37" t="s">
        <v>392</v>
      </c>
      <c r="E872" s="44">
        <f>E873</f>
        <v>0</v>
      </c>
      <c r="F872" s="44">
        <f>F873</f>
        <v>0</v>
      </c>
    </row>
    <row r="873" spans="1:6" s="1" customFormat="1" ht="107.25" customHeight="1">
      <c r="A873" s="42" t="s">
        <v>7</v>
      </c>
      <c r="B873" s="38" t="s">
        <v>120</v>
      </c>
      <c r="C873" s="39" t="s">
        <v>732</v>
      </c>
      <c r="D873" s="37" t="s">
        <v>6</v>
      </c>
      <c r="E873" s="44"/>
      <c r="F873" s="44">
        <f>E873</f>
        <v>0</v>
      </c>
    </row>
    <row r="874" spans="1:6" s="1" customFormat="1" ht="50.25" customHeight="1">
      <c r="A874" s="42" t="s">
        <v>724</v>
      </c>
      <c r="B874" s="38" t="s">
        <v>120</v>
      </c>
      <c r="C874" s="39" t="s">
        <v>734</v>
      </c>
      <c r="D874" s="37"/>
      <c r="E874" s="44">
        <f>E875</f>
        <v>0</v>
      </c>
      <c r="F874" s="44">
        <f>F875</f>
        <v>0</v>
      </c>
    </row>
    <row r="875" spans="1:6" s="1" customFormat="1" ht="36" customHeight="1">
      <c r="A875" s="46" t="s">
        <v>325</v>
      </c>
      <c r="B875" s="38" t="s">
        <v>120</v>
      </c>
      <c r="C875" s="39" t="s">
        <v>734</v>
      </c>
      <c r="D875" s="37" t="s">
        <v>392</v>
      </c>
      <c r="E875" s="44">
        <f>E876</f>
        <v>0</v>
      </c>
      <c r="F875" s="44">
        <f>F876</f>
        <v>0</v>
      </c>
    </row>
    <row r="876" spans="1:6" s="1" customFormat="1" ht="105.75" customHeight="1">
      <c r="A876" s="42" t="s">
        <v>7</v>
      </c>
      <c r="B876" s="38" t="s">
        <v>120</v>
      </c>
      <c r="C876" s="39" t="s">
        <v>734</v>
      </c>
      <c r="D876" s="37" t="s">
        <v>6</v>
      </c>
      <c r="E876" s="44"/>
      <c r="F876" s="44"/>
    </row>
    <row r="877" spans="1:6" s="1" customFormat="1" ht="31.5" customHeight="1">
      <c r="A877" s="42" t="s">
        <v>505</v>
      </c>
      <c r="B877" s="38" t="s">
        <v>120</v>
      </c>
      <c r="C877" s="39" t="s">
        <v>733</v>
      </c>
      <c r="D877" s="37"/>
      <c r="E877" s="44">
        <f>E878</f>
        <v>0</v>
      </c>
      <c r="F877" s="44"/>
    </row>
    <row r="878" spans="1:6" s="1" customFormat="1" ht="28.5" customHeight="1">
      <c r="A878" s="46" t="s">
        <v>325</v>
      </c>
      <c r="B878" s="38" t="s">
        <v>120</v>
      </c>
      <c r="C878" s="39" t="s">
        <v>733</v>
      </c>
      <c r="D878" s="37" t="s">
        <v>392</v>
      </c>
      <c r="E878" s="44">
        <f>E879</f>
        <v>0</v>
      </c>
      <c r="F878" s="44">
        <f>F879</f>
        <v>0</v>
      </c>
    </row>
    <row r="879" spans="1:6" s="1" customFormat="1" ht="105.75" customHeight="1">
      <c r="A879" s="42" t="s">
        <v>7</v>
      </c>
      <c r="B879" s="38" t="s">
        <v>120</v>
      </c>
      <c r="C879" s="39" t="s">
        <v>733</v>
      </c>
      <c r="D879" s="37" t="s">
        <v>6</v>
      </c>
      <c r="E879" s="44"/>
      <c r="F879" s="44"/>
    </row>
    <row r="880" spans="1:6" s="1" customFormat="1" ht="21" customHeight="1">
      <c r="A880" s="80" t="s">
        <v>247</v>
      </c>
      <c r="B880" s="38" t="s">
        <v>120</v>
      </c>
      <c r="C880" s="39" t="s">
        <v>367</v>
      </c>
      <c r="D880" s="37"/>
      <c r="E880" s="40">
        <f>E881</f>
        <v>0</v>
      </c>
      <c r="F880" s="40">
        <f>F881</f>
        <v>0</v>
      </c>
    </row>
    <row r="881" spans="1:6" s="1" customFormat="1" ht="30" customHeight="1">
      <c r="A881" s="80" t="s">
        <v>441</v>
      </c>
      <c r="B881" s="38" t="s">
        <v>120</v>
      </c>
      <c r="C881" s="10" t="s">
        <v>368</v>
      </c>
      <c r="D881" s="38"/>
      <c r="E881" s="40">
        <f>E882</f>
        <v>0</v>
      </c>
      <c r="F881" s="40"/>
    </row>
    <row r="882" spans="1:6" s="1" customFormat="1" ht="32.25" customHeight="1">
      <c r="A882" s="41" t="s">
        <v>339</v>
      </c>
      <c r="B882" s="38" t="s">
        <v>120</v>
      </c>
      <c r="C882" s="10" t="s">
        <v>368</v>
      </c>
      <c r="D882" s="38" t="s">
        <v>338</v>
      </c>
      <c r="E882" s="57">
        <f>E883</f>
        <v>0</v>
      </c>
      <c r="F882" s="44"/>
    </row>
    <row r="883" spans="1:6" s="1" customFormat="1" ht="24" customHeight="1">
      <c r="A883" s="43" t="s">
        <v>337</v>
      </c>
      <c r="B883" s="38" t="s">
        <v>120</v>
      </c>
      <c r="C883" s="10" t="s">
        <v>368</v>
      </c>
      <c r="D883" s="38" t="s">
        <v>336</v>
      </c>
      <c r="E883" s="57"/>
      <c r="F883" s="44"/>
    </row>
    <row r="884" spans="1:6" s="1" customFormat="1" ht="31.5" customHeight="1">
      <c r="A884" s="52" t="s">
        <v>272</v>
      </c>
      <c r="B884" s="38" t="s">
        <v>120</v>
      </c>
      <c r="C884" s="47" t="s">
        <v>369</v>
      </c>
      <c r="D884" s="47"/>
      <c r="E884" s="50">
        <f>E885</f>
        <v>0</v>
      </c>
      <c r="F884" s="44"/>
    </row>
    <row r="885" spans="1:6" s="1" customFormat="1" ht="47.25" customHeight="1">
      <c r="A885" s="68" t="s">
        <v>345</v>
      </c>
      <c r="B885" s="38" t="s">
        <v>120</v>
      </c>
      <c r="C885" s="47" t="s">
        <v>370</v>
      </c>
      <c r="D885" s="47"/>
      <c r="E885" s="50">
        <f>E886</f>
        <v>0</v>
      </c>
      <c r="F885" s="44"/>
    </row>
    <row r="886" spans="1:6" s="1" customFormat="1" ht="30.75" customHeight="1">
      <c r="A886" s="52" t="s">
        <v>256</v>
      </c>
      <c r="B886" s="38" t="s">
        <v>120</v>
      </c>
      <c r="C886" s="47" t="s">
        <v>236</v>
      </c>
      <c r="D886" s="47"/>
      <c r="E886" s="50">
        <f>E887</f>
        <v>0</v>
      </c>
      <c r="F886" s="44"/>
    </row>
    <row r="887" spans="1:6" s="1" customFormat="1" ht="29.25" customHeight="1">
      <c r="A887" s="41" t="s">
        <v>339</v>
      </c>
      <c r="B887" s="38" t="s">
        <v>120</v>
      </c>
      <c r="C887" s="47" t="s">
        <v>236</v>
      </c>
      <c r="D887" s="47" t="s">
        <v>338</v>
      </c>
      <c r="E887" s="50">
        <f>E888</f>
        <v>0</v>
      </c>
      <c r="F887" s="44"/>
    </row>
    <row r="888" spans="1:6" s="1" customFormat="1" ht="24" customHeight="1">
      <c r="A888" s="43" t="s">
        <v>337</v>
      </c>
      <c r="B888" s="38" t="s">
        <v>120</v>
      </c>
      <c r="C888" s="47" t="s">
        <v>236</v>
      </c>
      <c r="D888" s="47" t="s">
        <v>336</v>
      </c>
      <c r="E888" s="50"/>
      <c r="F888" s="44"/>
    </row>
    <row r="889" spans="1:8" s="1" customFormat="1" ht="24" customHeight="1">
      <c r="A889" s="59" t="s">
        <v>209</v>
      </c>
      <c r="B889" s="99" t="s">
        <v>208</v>
      </c>
      <c r="C889" s="10"/>
      <c r="D889" s="69"/>
      <c r="E889" s="50">
        <f>E890</f>
        <v>0</v>
      </c>
      <c r="F889" s="50">
        <f>F890</f>
        <v>0</v>
      </c>
      <c r="H889" s="100"/>
    </row>
    <row r="890" spans="1:6" s="1" customFormat="1" ht="23.25" customHeight="1">
      <c r="A890" s="104" t="s">
        <v>101</v>
      </c>
      <c r="B890" s="38" t="s">
        <v>208</v>
      </c>
      <c r="C890" s="10"/>
      <c r="D890" s="74"/>
      <c r="E890" s="76">
        <f>E891+E911</f>
        <v>0</v>
      </c>
      <c r="F890" s="76">
        <f>F891+F911</f>
        <v>0</v>
      </c>
    </row>
    <row r="891" spans="1:6" s="1" customFormat="1" ht="45.75" customHeight="1">
      <c r="A891" s="52" t="s">
        <v>266</v>
      </c>
      <c r="B891" s="38" t="s">
        <v>208</v>
      </c>
      <c r="C891" s="10" t="s">
        <v>135</v>
      </c>
      <c r="D891" s="37"/>
      <c r="E891" s="77">
        <f>E892</f>
        <v>0</v>
      </c>
      <c r="F891" s="77">
        <f>F892</f>
        <v>0</v>
      </c>
    </row>
    <row r="892" spans="1:6" s="1" customFormat="1" ht="33.75" customHeight="1">
      <c r="A892" s="60" t="s">
        <v>286</v>
      </c>
      <c r="B892" s="38" t="s">
        <v>208</v>
      </c>
      <c r="C892" s="39" t="s">
        <v>358</v>
      </c>
      <c r="D892" s="37"/>
      <c r="E892" s="76">
        <f>E899+E902+E905+E893+E896+E908</f>
        <v>0</v>
      </c>
      <c r="F892" s="76">
        <f>F899+F902+F905+F893+F896</f>
        <v>0</v>
      </c>
    </row>
    <row r="893" spans="1:6" s="1" customFormat="1" ht="47.25" customHeight="1">
      <c r="A893" s="51" t="s">
        <v>636</v>
      </c>
      <c r="B893" s="38" t="s">
        <v>208</v>
      </c>
      <c r="C893" s="39" t="s">
        <v>661</v>
      </c>
      <c r="D893" s="37"/>
      <c r="E893" s="44">
        <f>E894</f>
        <v>0</v>
      </c>
      <c r="F893" s="44">
        <f>F894</f>
        <v>0</v>
      </c>
    </row>
    <row r="894" spans="1:6" s="1" customFormat="1" ht="31.5" customHeight="1">
      <c r="A894" s="60" t="s">
        <v>339</v>
      </c>
      <c r="B894" s="38" t="s">
        <v>208</v>
      </c>
      <c r="C894" s="39" t="s">
        <v>661</v>
      </c>
      <c r="D894" s="37" t="s">
        <v>338</v>
      </c>
      <c r="E894" s="44">
        <f>E895</f>
        <v>0</v>
      </c>
      <c r="F894" s="44">
        <f>F895</f>
        <v>0</v>
      </c>
    </row>
    <row r="895" spans="1:6" s="1" customFormat="1" ht="19.5" customHeight="1">
      <c r="A895" s="60" t="s">
        <v>337</v>
      </c>
      <c r="B895" s="38" t="s">
        <v>208</v>
      </c>
      <c r="C895" s="39" t="s">
        <v>661</v>
      </c>
      <c r="D895" s="37" t="s">
        <v>336</v>
      </c>
      <c r="E895" s="44"/>
      <c r="F895" s="44">
        <f>E895</f>
        <v>0</v>
      </c>
    </row>
    <row r="896" spans="1:6" s="1" customFormat="1" ht="75.75" customHeight="1">
      <c r="A896" s="43" t="s">
        <v>713</v>
      </c>
      <c r="B896" s="38" t="s">
        <v>208</v>
      </c>
      <c r="C896" s="39" t="s">
        <v>707</v>
      </c>
      <c r="D896" s="37"/>
      <c r="E896" s="44">
        <f>E897</f>
        <v>0</v>
      </c>
      <c r="F896" s="44">
        <f>F897</f>
        <v>0</v>
      </c>
    </row>
    <row r="897" spans="1:6" s="1" customFormat="1" ht="27.75" customHeight="1">
      <c r="A897" s="60" t="s">
        <v>339</v>
      </c>
      <c r="B897" s="38" t="s">
        <v>208</v>
      </c>
      <c r="C897" s="39" t="s">
        <v>707</v>
      </c>
      <c r="D897" s="37" t="s">
        <v>338</v>
      </c>
      <c r="E897" s="44">
        <f>E898</f>
        <v>0</v>
      </c>
      <c r="F897" s="44">
        <f>F898</f>
        <v>0</v>
      </c>
    </row>
    <row r="898" spans="1:6" s="1" customFormat="1" ht="19.5" customHeight="1">
      <c r="A898" s="42" t="s">
        <v>337</v>
      </c>
      <c r="B898" s="38" t="s">
        <v>208</v>
      </c>
      <c r="C898" s="39" t="s">
        <v>707</v>
      </c>
      <c r="D898" s="37" t="s">
        <v>336</v>
      </c>
      <c r="E898" s="44"/>
      <c r="F898" s="44"/>
    </row>
    <row r="899" spans="1:6" s="1" customFormat="1" ht="30.75" customHeight="1">
      <c r="A899" s="43" t="s">
        <v>405</v>
      </c>
      <c r="B899" s="38" t="s">
        <v>208</v>
      </c>
      <c r="C899" s="10" t="s">
        <v>359</v>
      </c>
      <c r="D899" s="78"/>
      <c r="E899" s="79">
        <f>E900</f>
        <v>23400</v>
      </c>
      <c r="F899" s="44"/>
    </row>
    <row r="900" spans="1:6" s="1" customFormat="1" ht="30" customHeight="1">
      <c r="A900" s="60" t="s">
        <v>339</v>
      </c>
      <c r="B900" s="38" t="s">
        <v>208</v>
      </c>
      <c r="C900" s="10" t="s">
        <v>359</v>
      </c>
      <c r="D900" s="39" t="s">
        <v>338</v>
      </c>
      <c r="E900" s="40">
        <f>E901</f>
        <v>23400</v>
      </c>
      <c r="F900" s="44"/>
    </row>
    <row r="901" spans="1:6" s="1" customFormat="1" ht="21.75" customHeight="1">
      <c r="A901" s="43" t="s">
        <v>337</v>
      </c>
      <c r="B901" s="38" t="s">
        <v>208</v>
      </c>
      <c r="C901" s="10" t="s">
        <v>359</v>
      </c>
      <c r="D901" s="78" t="s">
        <v>336</v>
      </c>
      <c r="E901" s="79">
        <f>23400</f>
        <v>23400</v>
      </c>
      <c r="F901" s="44"/>
    </row>
    <row r="902" spans="1:6" s="1" customFormat="1" ht="21.75" customHeight="1">
      <c r="A902" s="42" t="s">
        <v>398</v>
      </c>
      <c r="B902" s="38" t="s">
        <v>208</v>
      </c>
      <c r="C902" s="39" t="s">
        <v>360</v>
      </c>
      <c r="D902" s="39"/>
      <c r="E902" s="40">
        <f>E903</f>
        <v>0</v>
      </c>
      <c r="F902" s="44"/>
    </row>
    <row r="903" spans="1:6" s="1" customFormat="1" ht="33" customHeight="1">
      <c r="A903" s="60" t="s">
        <v>339</v>
      </c>
      <c r="B903" s="38" t="s">
        <v>208</v>
      </c>
      <c r="C903" s="10" t="s">
        <v>360</v>
      </c>
      <c r="D903" s="39" t="s">
        <v>338</v>
      </c>
      <c r="E903" s="40">
        <f>E904</f>
        <v>0</v>
      </c>
      <c r="F903" s="44"/>
    </row>
    <row r="904" spans="1:6" s="1" customFormat="1" ht="21.75" customHeight="1">
      <c r="A904" s="43" t="s">
        <v>337</v>
      </c>
      <c r="B904" s="38" t="s">
        <v>208</v>
      </c>
      <c r="C904" s="10" t="s">
        <v>360</v>
      </c>
      <c r="D904" s="78" t="s">
        <v>336</v>
      </c>
      <c r="E904" s="40"/>
      <c r="F904" s="45"/>
    </row>
    <row r="905" spans="1:6" s="1" customFormat="1" ht="21.75" customHeight="1">
      <c r="A905" s="42" t="s">
        <v>394</v>
      </c>
      <c r="B905" s="38" t="s">
        <v>208</v>
      </c>
      <c r="C905" s="39" t="s">
        <v>361</v>
      </c>
      <c r="D905" s="39"/>
      <c r="E905" s="40">
        <f>E906</f>
        <v>0</v>
      </c>
      <c r="F905" s="44"/>
    </row>
    <row r="906" spans="1:6" s="1" customFormat="1" ht="30" customHeight="1">
      <c r="A906" s="36" t="s">
        <v>339</v>
      </c>
      <c r="B906" s="38" t="s">
        <v>208</v>
      </c>
      <c r="C906" s="39" t="s">
        <v>361</v>
      </c>
      <c r="D906" s="78" t="s">
        <v>338</v>
      </c>
      <c r="E906" s="40">
        <f>E907</f>
        <v>0</v>
      </c>
      <c r="F906" s="45"/>
    </row>
    <row r="907" spans="1:6" s="1" customFormat="1" ht="19.5" customHeight="1">
      <c r="A907" s="42" t="s">
        <v>337</v>
      </c>
      <c r="B907" s="38" t="s">
        <v>208</v>
      </c>
      <c r="C907" s="39" t="s">
        <v>361</v>
      </c>
      <c r="D907" s="39" t="s">
        <v>336</v>
      </c>
      <c r="E907" s="40"/>
      <c r="F907" s="44"/>
    </row>
    <row r="908" spans="1:6" s="1" customFormat="1" ht="45" customHeight="1">
      <c r="A908" s="43" t="s">
        <v>715</v>
      </c>
      <c r="B908" s="38" t="s">
        <v>208</v>
      </c>
      <c r="C908" s="39" t="s">
        <v>716</v>
      </c>
      <c r="D908" s="39"/>
      <c r="E908" s="40">
        <f>E909</f>
        <v>-23400</v>
      </c>
      <c r="F908" s="45"/>
    </row>
    <row r="909" spans="1:6" s="1" customFormat="1" ht="31.5" customHeight="1">
      <c r="A909" s="36" t="s">
        <v>339</v>
      </c>
      <c r="B909" s="38" t="s">
        <v>208</v>
      </c>
      <c r="C909" s="39" t="s">
        <v>716</v>
      </c>
      <c r="D909" s="78" t="s">
        <v>338</v>
      </c>
      <c r="E909" s="40">
        <f>E910</f>
        <v>-23400</v>
      </c>
      <c r="F909" s="45"/>
    </row>
    <row r="910" spans="1:6" s="1" customFormat="1" ht="21.75" customHeight="1">
      <c r="A910" s="42" t="s">
        <v>337</v>
      </c>
      <c r="B910" s="38" t="s">
        <v>208</v>
      </c>
      <c r="C910" s="39" t="s">
        <v>716</v>
      </c>
      <c r="D910" s="37" t="s">
        <v>336</v>
      </c>
      <c r="E910" s="40">
        <f>-23400</f>
        <v>-23400</v>
      </c>
      <c r="F910" s="45"/>
    </row>
    <row r="911" spans="1:8" s="1" customFormat="1" ht="30.75" customHeight="1">
      <c r="A911" s="36" t="s">
        <v>273</v>
      </c>
      <c r="B911" s="38" t="s">
        <v>208</v>
      </c>
      <c r="C911" s="10" t="s">
        <v>362</v>
      </c>
      <c r="D911" s="38"/>
      <c r="E911" s="45">
        <f>E912</f>
        <v>0</v>
      </c>
      <c r="F911" s="45">
        <f>F912</f>
        <v>0</v>
      </c>
      <c r="H911" s="100">
        <f>E911-F911</f>
        <v>0</v>
      </c>
    </row>
    <row r="912" spans="1:8" s="1" customFormat="1" ht="34.5" customHeight="1">
      <c r="A912" s="43" t="s">
        <v>315</v>
      </c>
      <c r="B912" s="38" t="s">
        <v>208</v>
      </c>
      <c r="C912" s="10" t="s">
        <v>363</v>
      </c>
      <c r="D912" s="38"/>
      <c r="E912" s="45">
        <f>E922+E925+E916+E919+E913+E928</f>
        <v>0</v>
      </c>
      <c r="F912" s="45">
        <f>F922+F925+F916+F919+F913</f>
        <v>0</v>
      </c>
      <c r="H912" s="100"/>
    </row>
    <row r="913" spans="1:8" s="1" customFormat="1" ht="48" customHeight="1">
      <c r="A913" s="51" t="s">
        <v>636</v>
      </c>
      <c r="B913" s="38" t="s">
        <v>208</v>
      </c>
      <c r="C913" s="39" t="s">
        <v>678</v>
      </c>
      <c r="D913" s="37"/>
      <c r="E913" s="44">
        <f>E914</f>
        <v>0</v>
      </c>
      <c r="F913" s="44">
        <f>F914</f>
        <v>0</v>
      </c>
      <c r="H913" s="100"/>
    </row>
    <row r="914" spans="1:8" s="1" customFormat="1" ht="29.25" customHeight="1">
      <c r="A914" s="60" t="s">
        <v>339</v>
      </c>
      <c r="B914" s="38" t="s">
        <v>208</v>
      </c>
      <c r="C914" s="39" t="s">
        <v>678</v>
      </c>
      <c r="D914" s="37" t="s">
        <v>338</v>
      </c>
      <c r="E914" s="44">
        <f>E915</f>
        <v>0</v>
      </c>
      <c r="F914" s="44">
        <f>F915</f>
        <v>0</v>
      </c>
      <c r="H914" s="100"/>
    </row>
    <row r="915" spans="1:8" s="1" customFormat="1" ht="18.75" customHeight="1">
      <c r="A915" s="60" t="s">
        <v>337</v>
      </c>
      <c r="B915" s="38" t="s">
        <v>208</v>
      </c>
      <c r="C915" s="39" t="s">
        <v>678</v>
      </c>
      <c r="D915" s="37" t="s">
        <v>336</v>
      </c>
      <c r="E915" s="44"/>
      <c r="F915" s="44">
        <f>E915</f>
        <v>0</v>
      </c>
      <c r="H915" s="100"/>
    </row>
    <row r="916" spans="1:6" s="1" customFormat="1" ht="60" customHeight="1">
      <c r="A916" s="43" t="s">
        <v>535</v>
      </c>
      <c r="B916" s="38" t="s">
        <v>208</v>
      </c>
      <c r="C916" s="10" t="s">
        <v>729</v>
      </c>
      <c r="D916" s="37"/>
      <c r="E916" s="45">
        <f>E917</f>
        <v>0</v>
      </c>
      <c r="F916" s="45">
        <f>F917</f>
        <v>0</v>
      </c>
    </row>
    <row r="917" spans="1:6" s="1" customFormat="1" ht="34.5" customHeight="1">
      <c r="A917" s="36" t="s">
        <v>339</v>
      </c>
      <c r="B917" s="38" t="s">
        <v>208</v>
      </c>
      <c r="C917" s="10" t="s">
        <v>729</v>
      </c>
      <c r="D917" s="78" t="s">
        <v>338</v>
      </c>
      <c r="E917" s="45">
        <f>E918</f>
        <v>0</v>
      </c>
      <c r="F917" s="45">
        <f>F918</f>
        <v>0</v>
      </c>
    </row>
    <row r="918" spans="1:6" s="1" customFormat="1" ht="25.5" customHeight="1">
      <c r="A918" s="42" t="s">
        <v>337</v>
      </c>
      <c r="B918" s="38" t="s">
        <v>208</v>
      </c>
      <c r="C918" s="10" t="s">
        <v>729</v>
      </c>
      <c r="D918" s="39" t="s">
        <v>336</v>
      </c>
      <c r="E918" s="45"/>
      <c r="F918" s="45">
        <f>E918</f>
        <v>0</v>
      </c>
    </row>
    <row r="919" spans="1:6" s="1" customFormat="1" ht="62.25" customHeight="1">
      <c r="A919" s="43" t="s">
        <v>513</v>
      </c>
      <c r="B919" s="38" t="s">
        <v>208</v>
      </c>
      <c r="C919" s="10" t="s">
        <v>729</v>
      </c>
      <c r="D919" s="10"/>
      <c r="E919" s="45">
        <f>E920</f>
        <v>0</v>
      </c>
      <c r="F919" s="45"/>
    </row>
    <row r="920" spans="1:6" s="1" customFormat="1" ht="31.5" customHeight="1">
      <c r="A920" s="36" t="s">
        <v>339</v>
      </c>
      <c r="B920" s="38" t="s">
        <v>208</v>
      </c>
      <c r="C920" s="10" t="s">
        <v>729</v>
      </c>
      <c r="D920" s="10" t="s">
        <v>338</v>
      </c>
      <c r="E920" s="45">
        <f>E921</f>
        <v>0</v>
      </c>
      <c r="F920" s="45"/>
    </row>
    <row r="921" spans="1:6" s="1" customFormat="1" ht="24.75" customHeight="1">
      <c r="A921" s="42" t="s">
        <v>337</v>
      </c>
      <c r="B921" s="38" t="s">
        <v>208</v>
      </c>
      <c r="C921" s="10" t="s">
        <v>729</v>
      </c>
      <c r="D921" s="10" t="s">
        <v>336</v>
      </c>
      <c r="E921" s="45"/>
      <c r="F921" s="45"/>
    </row>
    <row r="922" spans="1:6" s="1" customFormat="1" ht="34.5" customHeight="1">
      <c r="A922" s="43" t="s">
        <v>233</v>
      </c>
      <c r="B922" s="38" t="s">
        <v>208</v>
      </c>
      <c r="C922" s="10" t="s">
        <v>364</v>
      </c>
      <c r="D922" s="38"/>
      <c r="E922" s="45">
        <f>E923</f>
        <v>0</v>
      </c>
      <c r="F922" s="45"/>
    </row>
    <row r="923" spans="1:6" s="1" customFormat="1" ht="31.5" customHeight="1">
      <c r="A923" s="36" t="s">
        <v>339</v>
      </c>
      <c r="B923" s="38" t="s">
        <v>208</v>
      </c>
      <c r="C923" s="10" t="s">
        <v>364</v>
      </c>
      <c r="D923" s="38" t="s">
        <v>338</v>
      </c>
      <c r="E923" s="45">
        <f>E924</f>
        <v>0</v>
      </c>
      <c r="F923" s="44"/>
    </row>
    <row r="924" spans="1:6" s="1" customFormat="1" ht="20.25" customHeight="1">
      <c r="A924" s="43" t="s">
        <v>337</v>
      </c>
      <c r="B924" s="38" t="s">
        <v>208</v>
      </c>
      <c r="C924" s="10" t="s">
        <v>364</v>
      </c>
      <c r="D924" s="38" t="s">
        <v>336</v>
      </c>
      <c r="E924" s="45"/>
      <c r="F924" s="44"/>
    </row>
    <row r="925" spans="1:6" s="1" customFormat="1" ht="20.25" customHeight="1">
      <c r="A925" s="43" t="s">
        <v>45</v>
      </c>
      <c r="B925" s="38" t="s">
        <v>208</v>
      </c>
      <c r="C925" s="10" t="s">
        <v>365</v>
      </c>
      <c r="D925" s="38"/>
      <c r="E925" s="45">
        <f>E926</f>
        <v>0</v>
      </c>
      <c r="F925" s="44"/>
    </row>
    <row r="926" spans="1:6" s="1" customFormat="1" ht="28.5" customHeight="1">
      <c r="A926" s="36" t="s">
        <v>339</v>
      </c>
      <c r="B926" s="38" t="s">
        <v>208</v>
      </c>
      <c r="C926" s="10" t="s">
        <v>365</v>
      </c>
      <c r="D926" s="38" t="s">
        <v>338</v>
      </c>
      <c r="E926" s="45">
        <f>E927</f>
        <v>0</v>
      </c>
      <c r="F926" s="44"/>
    </row>
    <row r="927" spans="1:6" s="1" customFormat="1" ht="20.25" customHeight="1">
      <c r="A927" s="43" t="s">
        <v>337</v>
      </c>
      <c r="B927" s="38" t="s">
        <v>208</v>
      </c>
      <c r="C927" s="10" t="s">
        <v>365</v>
      </c>
      <c r="D927" s="38" t="s">
        <v>336</v>
      </c>
      <c r="E927" s="45"/>
      <c r="F927" s="44"/>
    </row>
    <row r="928" spans="1:6" s="1" customFormat="1" ht="47.25" customHeight="1">
      <c r="A928" s="43" t="s">
        <v>715</v>
      </c>
      <c r="B928" s="38" t="s">
        <v>208</v>
      </c>
      <c r="C928" s="39" t="s">
        <v>750</v>
      </c>
      <c r="D928" s="39"/>
      <c r="E928" s="40">
        <f>E929</f>
        <v>0</v>
      </c>
      <c r="F928" s="45"/>
    </row>
    <row r="929" spans="1:6" s="1" customFormat="1" ht="29.25" customHeight="1">
      <c r="A929" s="36" t="s">
        <v>339</v>
      </c>
      <c r="B929" s="38" t="s">
        <v>208</v>
      </c>
      <c r="C929" s="39" t="s">
        <v>750</v>
      </c>
      <c r="D929" s="78" t="s">
        <v>338</v>
      </c>
      <c r="E929" s="40">
        <f>E930</f>
        <v>0</v>
      </c>
      <c r="F929" s="45"/>
    </row>
    <row r="930" spans="1:6" s="1" customFormat="1" ht="20.25" customHeight="1">
      <c r="A930" s="42" t="s">
        <v>337</v>
      </c>
      <c r="B930" s="38" t="s">
        <v>208</v>
      </c>
      <c r="C930" s="39" t="s">
        <v>750</v>
      </c>
      <c r="D930" s="37" t="s">
        <v>336</v>
      </c>
      <c r="E930" s="40"/>
      <c r="F930" s="45"/>
    </row>
    <row r="931" spans="1:6" s="1" customFormat="1" ht="24" customHeight="1">
      <c r="A931" s="59" t="s">
        <v>210</v>
      </c>
      <c r="B931" s="63" t="s">
        <v>156</v>
      </c>
      <c r="C931" s="63"/>
      <c r="D931" s="63"/>
      <c r="E931" s="13">
        <f>E932</f>
        <v>0</v>
      </c>
      <c r="F931" s="13">
        <f>F932</f>
        <v>0</v>
      </c>
    </row>
    <row r="932" spans="1:6" s="1" customFormat="1" ht="108" customHeight="1">
      <c r="A932" s="43" t="s">
        <v>249</v>
      </c>
      <c r="B932" s="39" t="s">
        <v>156</v>
      </c>
      <c r="C932" s="10" t="s">
        <v>436</v>
      </c>
      <c r="D932" s="39"/>
      <c r="E932" s="40">
        <f>E934</f>
        <v>0</v>
      </c>
      <c r="F932" s="40">
        <f>F934</f>
        <v>0</v>
      </c>
    </row>
    <row r="933" spans="1:6" s="1" customFormat="1" ht="30.75" customHeight="1">
      <c r="A933" s="36" t="s">
        <v>339</v>
      </c>
      <c r="B933" s="39" t="s">
        <v>156</v>
      </c>
      <c r="C933" s="10" t="s">
        <v>436</v>
      </c>
      <c r="D933" s="39" t="s">
        <v>338</v>
      </c>
      <c r="E933" s="40">
        <f>E934</f>
        <v>0</v>
      </c>
      <c r="F933" s="40">
        <f>F934</f>
        <v>0</v>
      </c>
    </row>
    <row r="934" spans="1:6" s="1" customFormat="1" ht="28.5" customHeight="1">
      <c r="A934" s="67" t="s">
        <v>47</v>
      </c>
      <c r="B934" s="39" t="s">
        <v>156</v>
      </c>
      <c r="C934" s="10" t="s">
        <v>436</v>
      </c>
      <c r="D934" s="39" t="s">
        <v>83</v>
      </c>
      <c r="E934" s="40"/>
      <c r="F934" s="40">
        <f>E934</f>
        <v>0</v>
      </c>
    </row>
    <row r="935" spans="1:6" s="1" customFormat="1" ht="18" customHeight="1">
      <c r="A935" s="59" t="s">
        <v>211</v>
      </c>
      <c r="B935" s="63" t="s">
        <v>95</v>
      </c>
      <c r="C935" s="63"/>
      <c r="D935" s="63"/>
      <c r="E935" s="13">
        <f>E936</f>
        <v>0</v>
      </c>
      <c r="F935" s="13">
        <f>F936</f>
        <v>0</v>
      </c>
    </row>
    <row r="936" spans="1:6" s="2" customFormat="1" ht="33.75" customHeight="1">
      <c r="A936" s="52" t="s">
        <v>272</v>
      </c>
      <c r="B936" s="47" t="s">
        <v>95</v>
      </c>
      <c r="C936" s="47" t="s">
        <v>369</v>
      </c>
      <c r="D936" s="47"/>
      <c r="E936" s="50">
        <f>E937</f>
        <v>0</v>
      </c>
      <c r="F936" s="50">
        <f>F937</f>
        <v>0</v>
      </c>
    </row>
    <row r="937" spans="1:6" s="2" customFormat="1" ht="48" customHeight="1">
      <c r="A937" s="68" t="s">
        <v>345</v>
      </c>
      <c r="B937" s="47" t="s">
        <v>95</v>
      </c>
      <c r="C937" s="47" t="s">
        <v>370</v>
      </c>
      <c r="D937" s="47"/>
      <c r="E937" s="50">
        <f>E942+E944+E938</f>
        <v>0</v>
      </c>
      <c r="F937" s="50">
        <f>F942+F944+F938</f>
        <v>0</v>
      </c>
    </row>
    <row r="938" spans="1:6" s="2" customFormat="1" ht="45" customHeight="1">
      <c r="A938" s="51" t="s">
        <v>636</v>
      </c>
      <c r="B938" s="38" t="s">
        <v>95</v>
      </c>
      <c r="C938" s="39" t="s">
        <v>721</v>
      </c>
      <c r="D938" s="37"/>
      <c r="E938" s="44">
        <f>E939</f>
        <v>0</v>
      </c>
      <c r="F938" s="44">
        <f>F939</f>
        <v>0</v>
      </c>
    </row>
    <row r="939" spans="1:6" s="2" customFormat="1" ht="39" customHeight="1">
      <c r="A939" s="60" t="s">
        <v>339</v>
      </c>
      <c r="B939" s="38" t="s">
        <v>95</v>
      </c>
      <c r="C939" s="39" t="s">
        <v>721</v>
      </c>
      <c r="D939" s="37" t="s">
        <v>338</v>
      </c>
      <c r="E939" s="44">
        <f>E940</f>
        <v>0</v>
      </c>
      <c r="F939" s="44">
        <f>F940</f>
        <v>0</v>
      </c>
    </row>
    <row r="940" spans="1:6" s="2" customFormat="1" ht="23.25" customHeight="1">
      <c r="A940" s="60" t="s">
        <v>337</v>
      </c>
      <c r="B940" s="38" t="s">
        <v>95</v>
      </c>
      <c r="C940" s="39" t="s">
        <v>721</v>
      </c>
      <c r="D940" s="37" t="s">
        <v>336</v>
      </c>
      <c r="E940" s="44"/>
      <c r="F940" s="44">
        <f>E940</f>
        <v>0</v>
      </c>
    </row>
    <row r="941" spans="1:6" s="2" customFormat="1" ht="20.25" customHeight="1">
      <c r="A941" s="52" t="s">
        <v>117</v>
      </c>
      <c r="B941" s="47" t="s">
        <v>95</v>
      </c>
      <c r="C941" s="47" t="s">
        <v>371</v>
      </c>
      <c r="D941" s="47"/>
      <c r="E941" s="50">
        <f>E942</f>
        <v>0</v>
      </c>
      <c r="F941" s="50"/>
    </row>
    <row r="942" spans="1:6" s="2" customFormat="1" ht="30" customHeight="1">
      <c r="A942" s="36" t="s">
        <v>339</v>
      </c>
      <c r="B942" s="47" t="s">
        <v>95</v>
      </c>
      <c r="C942" s="47" t="s">
        <v>371</v>
      </c>
      <c r="D942" s="47" t="s">
        <v>338</v>
      </c>
      <c r="E942" s="50">
        <f>E943</f>
        <v>0</v>
      </c>
      <c r="F942" s="50"/>
    </row>
    <row r="943" spans="1:6" s="2" customFormat="1" ht="21" customHeight="1">
      <c r="A943" s="46" t="s">
        <v>337</v>
      </c>
      <c r="B943" s="47" t="s">
        <v>95</v>
      </c>
      <c r="C943" s="47" t="s">
        <v>371</v>
      </c>
      <c r="D943" s="47" t="s">
        <v>336</v>
      </c>
      <c r="E943" s="50"/>
      <c r="F943" s="50"/>
    </row>
    <row r="944" spans="1:6" s="2" customFormat="1" ht="30" customHeight="1">
      <c r="A944" s="52" t="s">
        <v>346</v>
      </c>
      <c r="B944" s="47" t="s">
        <v>95</v>
      </c>
      <c r="C944" s="47" t="s">
        <v>372</v>
      </c>
      <c r="D944" s="47"/>
      <c r="E944" s="50">
        <f>E945</f>
        <v>0</v>
      </c>
      <c r="F944" s="50"/>
    </row>
    <row r="945" spans="1:6" s="2" customFormat="1" ht="30.75" customHeight="1">
      <c r="A945" s="60" t="s">
        <v>339</v>
      </c>
      <c r="B945" s="47" t="s">
        <v>95</v>
      </c>
      <c r="C945" s="47" t="s">
        <v>372</v>
      </c>
      <c r="D945" s="47" t="s">
        <v>338</v>
      </c>
      <c r="E945" s="50">
        <f>E946</f>
        <v>0</v>
      </c>
      <c r="F945" s="50"/>
    </row>
    <row r="946" spans="1:6" s="2" customFormat="1" ht="22.5" customHeight="1">
      <c r="A946" s="58" t="s">
        <v>337</v>
      </c>
      <c r="B946" s="47" t="s">
        <v>95</v>
      </c>
      <c r="C946" s="47" t="s">
        <v>372</v>
      </c>
      <c r="D946" s="47" t="s">
        <v>336</v>
      </c>
      <c r="E946" s="50"/>
      <c r="F946" s="50"/>
    </row>
    <row r="947" spans="1:8" s="2" customFormat="1" ht="17.25" customHeight="1">
      <c r="A947" s="81" t="s">
        <v>121</v>
      </c>
      <c r="B947" s="82" t="s">
        <v>122</v>
      </c>
      <c r="C947" s="82"/>
      <c r="D947" s="82"/>
      <c r="E947" s="83">
        <f>E966+E996+E948</f>
        <v>-78.6</v>
      </c>
      <c r="F947" s="83">
        <f>F966+F996+F948</f>
        <v>0</v>
      </c>
      <c r="H947" s="118"/>
    </row>
    <row r="948" spans="1:6" s="2" customFormat="1" ht="47.25" customHeight="1">
      <c r="A948" s="36" t="s">
        <v>3</v>
      </c>
      <c r="B948" s="47" t="s">
        <v>122</v>
      </c>
      <c r="C948" s="47" t="s">
        <v>358</v>
      </c>
      <c r="D948" s="47"/>
      <c r="E948" s="50">
        <f>E954+E949+E961</f>
        <v>-78.6</v>
      </c>
      <c r="F948" s="50">
        <f>F954+F949</f>
        <v>0</v>
      </c>
    </row>
    <row r="949" spans="1:6" s="2" customFormat="1" ht="34.5" customHeight="1">
      <c r="A949" s="36" t="s">
        <v>443</v>
      </c>
      <c r="B949" s="47" t="s">
        <v>122</v>
      </c>
      <c r="C949" s="47" t="s">
        <v>230</v>
      </c>
      <c r="D949" s="47"/>
      <c r="E949" s="50">
        <f>E950+E952</f>
        <v>0</v>
      </c>
      <c r="F949" s="50">
        <f>F950+F952</f>
        <v>0</v>
      </c>
    </row>
    <row r="950" spans="1:6" s="2" customFormat="1" ht="25.5" customHeight="1">
      <c r="A950" s="46" t="s">
        <v>174</v>
      </c>
      <c r="B950" s="47" t="s">
        <v>122</v>
      </c>
      <c r="C950" s="47" t="s">
        <v>230</v>
      </c>
      <c r="D950" s="47" t="s">
        <v>173</v>
      </c>
      <c r="E950" s="50">
        <f>E951</f>
        <v>0</v>
      </c>
      <c r="F950" s="50">
        <f>F951</f>
        <v>0</v>
      </c>
    </row>
    <row r="951" spans="1:6" s="2" customFormat="1" ht="35.25" customHeight="1">
      <c r="A951" s="46" t="s">
        <v>176</v>
      </c>
      <c r="B951" s="47" t="s">
        <v>122</v>
      </c>
      <c r="C951" s="47" t="s">
        <v>230</v>
      </c>
      <c r="D951" s="47" t="s">
        <v>175</v>
      </c>
      <c r="E951" s="50"/>
      <c r="F951" s="50">
        <f>E951</f>
        <v>0</v>
      </c>
    </row>
    <row r="952" spans="1:6" s="2" customFormat="1" ht="30.75" customHeight="1">
      <c r="A952" s="60" t="s">
        <v>339</v>
      </c>
      <c r="B952" s="47" t="s">
        <v>122</v>
      </c>
      <c r="C952" s="47" t="s">
        <v>230</v>
      </c>
      <c r="D952" s="69" t="s">
        <v>338</v>
      </c>
      <c r="E952" s="50">
        <f>E953</f>
        <v>0</v>
      </c>
      <c r="F952" s="50">
        <f>F953</f>
        <v>0</v>
      </c>
    </row>
    <row r="953" spans="1:6" s="2" customFormat="1" ht="19.5" customHeight="1">
      <c r="A953" s="58" t="s">
        <v>337</v>
      </c>
      <c r="B953" s="47" t="s">
        <v>122</v>
      </c>
      <c r="C953" s="47" t="s">
        <v>230</v>
      </c>
      <c r="D953" s="69" t="s">
        <v>336</v>
      </c>
      <c r="E953" s="50"/>
      <c r="F953" s="50"/>
    </row>
    <row r="954" spans="1:6" s="2" customFormat="1" ht="35.25" customHeight="1">
      <c r="A954" s="58" t="s">
        <v>229</v>
      </c>
      <c r="B954" s="47" t="s">
        <v>122</v>
      </c>
      <c r="C954" s="47" t="s">
        <v>230</v>
      </c>
      <c r="D954" s="47"/>
      <c r="E954" s="50">
        <f>E955+E959+E957</f>
        <v>0</v>
      </c>
      <c r="F954" s="50"/>
    </row>
    <row r="955" spans="1:6" s="2" customFormat="1" ht="23.25" customHeight="1">
      <c r="A955" s="46" t="s">
        <v>174</v>
      </c>
      <c r="B955" s="47" t="s">
        <v>122</v>
      </c>
      <c r="C955" s="47" t="s">
        <v>230</v>
      </c>
      <c r="D955" s="47" t="s">
        <v>173</v>
      </c>
      <c r="E955" s="50">
        <f>E956</f>
        <v>0</v>
      </c>
      <c r="F955" s="84">
        <f>F956</f>
        <v>0</v>
      </c>
    </row>
    <row r="956" spans="1:6" s="2" customFormat="1" ht="32.25" customHeight="1">
      <c r="A956" s="46" t="s">
        <v>176</v>
      </c>
      <c r="B956" s="47" t="s">
        <v>122</v>
      </c>
      <c r="C956" s="47" t="s">
        <v>230</v>
      </c>
      <c r="D956" s="47" t="s">
        <v>175</v>
      </c>
      <c r="E956" s="50"/>
      <c r="F956" s="83"/>
    </row>
    <row r="957" spans="1:6" s="2" customFormat="1" ht="32.25" customHeight="1">
      <c r="A957" s="46" t="s">
        <v>42</v>
      </c>
      <c r="B957" s="47" t="s">
        <v>122</v>
      </c>
      <c r="C957" s="47" t="s">
        <v>524</v>
      </c>
      <c r="D957" s="47" t="s">
        <v>347</v>
      </c>
      <c r="E957" s="50">
        <f>E958</f>
        <v>0</v>
      </c>
      <c r="F957" s="83"/>
    </row>
    <row r="958" spans="1:6" s="2" customFormat="1" ht="32.25" customHeight="1">
      <c r="A958" s="51" t="s">
        <v>54</v>
      </c>
      <c r="B958" s="47" t="s">
        <v>122</v>
      </c>
      <c r="C958" s="47" t="s">
        <v>524</v>
      </c>
      <c r="D958" s="47" t="s">
        <v>53</v>
      </c>
      <c r="E958" s="50"/>
      <c r="F958" s="83"/>
    </row>
    <row r="959" spans="1:6" s="2" customFormat="1" ht="35.25" customHeight="1">
      <c r="A959" s="60" t="s">
        <v>339</v>
      </c>
      <c r="B959" s="47" t="s">
        <v>122</v>
      </c>
      <c r="C959" s="47" t="s">
        <v>230</v>
      </c>
      <c r="D959" s="69" t="s">
        <v>338</v>
      </c>
      <c r="E959" s="50">
        <f>E960</f>
        <v>0</v>
      </c>
      <c r="F959" s="50"/>
    </row>
    <row r="960" spans="1:6" s="2" customFormat="1" ht="21.75" customHeight="1">
      <c r="A960" s="58" t="s">
        <v>337</v>
      </c>
      <c r="B960" s="47" t="s">
        <v>122</v>
      </c>
      <c r="C960" s="47" t="s">
        <v>230</v>
      </c>
      <c r="D960" s="69" t="s">
        <v>336</v>
      </c>
      <c r="E960" s="50"/>
      <c r="F960" s="50"/>
    </row>
    <row r="961" spans="1:6" s="2" customFormat="1" ht="30" customHeight="1">
      <c r="A961" s="58" t="s">
        <v>523</v>
      </c>
      <c r="B961" s="47" t="s">
        <v>122</v>
      </c>
      <c r="C961" s="47" t="s">
        <v>524</v>
      </c>
      <c r="D961" s="69"/>
      <c r="E961" s="50">
        <f>E962+E964</f>
        <v>-78.6</v>
      </c>
      <c r="F961" s="50"/>
    </row>
    <row r="962" spans="1:6" s="2" customFormat="1" ht="21.75" customHeight="1">
      <c r="A962" s="46" t="s">
        <v>174</v>
      </c>
      <c r="B962" s="47" t="s">
        <v>122</v>
      </c>
      <c r="C962" s="47" t="s">
        <v>524</v>
      </c>
      <c r="D962" s="47" t="s">
        <v>173</v>
      </c>
      <c r="E962" s="50">
        <f>E963</f>
        <v>201.6</v>
      </c>
      <c r="F962" s="50"/>
    </row>
    <row r="963" spans="1:6" s="2" customFormat="1" ht="30" customHeight="1">
      <c r="A963" s="46" t="s">
        <v>176</v>
      </c>
      <c r="B963" s="47" t="s">
        <v>122</v>
      </c>
      <c r="C963" s="47" t="s">
        <v>524</v>
      </c>
      <c r="D963" s="47" t="s">
        <v>175</v>
      </c>
      <c r="E963" s="50">
        <f>201.6</f>
        <v>201.6</v>
      </c>
      <c r="F963" s="50"/>
    </row>
    <row r="964" spans="1:6" s="2" customFormat="1" ht="30" customHeight="1">
      <c r="A964" s="46" t="s">
        <v>42</v>
      </c>
      <c r="B964" s="47" t="s">
        <v>122</v>
      </c>
      <c r="C964" s="47" t="s">
        <v>524</v>
      </c>
      <c r="D964" s="47" t="s">
        <v>347</v>
      </c>
      <c r="E964" s="50">
        <f>E965</f>
        <v>-280.2</v>
      </c>
      <c r="F964" s="50"/>
    </row>
    <row r="965" spans="1:6" s="2" customFormat="1" ht="30" customHeight="1">
      <c r="A965" s="51" t="s">
        <v>54</v>
      </c>
      <c r="B965" s="47" t="s">
        <v>122</v>
      </c>
      <c r="C965" s="47" t="s">
        <v>524</v>
      </c>
      <c r="D965" s="47" t="s">
        <v>53</v>
      </c>
      <c r="E965" s="50">
        <f>-280.2</f>
        <v>-280.2</v>
      </c>
      <c r="F965" s="50"/>
    </row>
    <row r="966" spans="1:6" s="2" customFormat="1" ht="21" customHeight="1">
      <c r="A966" s="36" t="s">
        <v>4</v>
      </c>
      <c r="B966" s="47" t="s">
        <v>122</v>
      </c>
      <c r="C966" s="47" t="s">
        <v>373</v>
      </c>
      <c r="D966" s="47"/>
      <c r="E966" s="84">
        <f>E967+E979+E990+E993</f>
        <v>0</v>
      </c>
      <c r="F966" s="84">
        <f>F967+F979+F990+F993</f>
        <v>0</v>
      </c>
    </row>
    <row r="967" spans="1:6" s="2" customFormat="1" ht="17.25" customHeight="1">
      <c r="A967" s="36" t="s">
        <v>116</v>
      </c>
      <c r="B967" s="47" t="s">
        <v>122</v>
      </c>
      <c r="C967" s="47" t="s">
        <v>374</v>
      </c>
      <c r="D967" s="47"/>
      <c r="E967" s="50">
        <f>E968+E971+E974</f>
        <v>0</v>
      </c>
      <c r="F967" s="50"/>
    </row>
    <row r="968" spans="1:6" s="2" customFormat="1" ht="19.5" customHeight="1">
      <c r="A968" s="58" t="s">
        <v>158</v>
      </c>
      <c r="B968" s="47" t="s">
        <v>122</v>
      </c>
      <c r="C968" s="47" t="s">
        <v>375</v>
      </c>
      <c r="D968" s="47"/>
      <c r="E968" s="50">
        <f>E969</f>
        <v>0</v>
      </c>
      <c r="F968" s="50"/>
    </row>
    <row r="969" spans="1:6" s="2" customFormat="1" ht="60.75" customHeight="1">
      <c r="A969" s="46" t="s">
        <v>331</v>
      </c>
      <c r="B969" s="47" t="s">
        <v>122</v>
      </c>
      <c r="C969" s="47" t="s">
        <v>375</v>
      </c>
      <c r="D969" s="47" t="s">
        <v>179</v>
      </c>
      <c r="E969" s="50">
        <f>E970</f>
        <v>0</v>
      </c>
      <c r="F969" s="50"/>
    </row>
    <row r="970" spans="1:6" s="2" customFormat="1" ht="23.25" customHeight="1">
      <c r="A970" s="58" t="s">
        <v>172</v>
      </c>
      <c r="B970" s="47" t="s">
        <v>122</v>
      </c>
      <c r="C970" s="47" t="s">
        <v>375</v>
      </c>
      <c r="D970" s="47" t="s">
        <v>171</v>
      </c>
      <c r="E970" s="50"/>
      <c r="F970" s="50"/>
    </row>
    <row r="971" spans="1:6" s="2" customFormat="1" ht="17.25" customHeight="1">
      <c r="A971" s="58" t="s">
        <v>159</v>
      </c>
      <c r="B971" s="47" t="s">
        <v>122</v>
      </c>
      <c r="C971" s="47" t="s">
        <v>376</v>
      </c>
      <c r="D971" s="47"/>
      <c r="E971" s="50">
        <f>E972</f>
        <v>0</v>
      </c>
      <c r="F971" s="50"/>
    </row>
    <row r="972" spans="1:6" s="2" customFormat="1" ht="69" customHeight="1">
      <c r="A972" s="46" t="s">
        <v>331</v>
      </c>
      <c r="B972" s="47" t="s">
        <v>122</v>
      </c>
      <c r="C972" s="47" t="s">
        <v>376</v>
      </c>
      <c r="D972" s="47" t="s">
        <v>179</v>
      </c>
      <c r="E972" s="50">
        <f>E973</f>
        <v>0</v>
      </c>
      <c r="F972" s="50"/>
    </row>
    <row r="973" spans="1:6" s="2" customFormat="1" ht="23.25" customHeight="1">
      <c r="A973" s="46" t="s">
        <v>172</v>
      </c>
      <c r="B973" s="47" t="s">
        <v>122</v>
      </c>
      <c r="C973" s="47" t="s">
        <v>376</v>
      </c>
      <c r="D973" s="47" t="s">
        <v>171</v>
      </c>
      <c r="E973" s="50"/>
      <c r="F973" s="50"/>
    </row>
    <row r="974" spans="1:6" s="2" customFormat="1" ht="27">
      <c r="A974" s="46" t="s">
        <v>68</v>
      </c>
      <c r="B974" s="47" t="s">
        <v>122</v>
      </c>
      <c r="C974" s="47" t="s">
        <v>377</v>
      </c>
      <c r="D974" s="47"/>
      <c r="E974" s="50">
        <f>E975+E977</f>
        <v>0</v>
      </c>
      <c r="F974" s="50"/>
    </row>
    <row r="975" spans="1:6" s="2" customFormat="1" ht="22.5" customHeight="1">
      <c r="A975" s="46" t="s">
        <v>174</v>
      </c>
      <c r="B975" s="47" t="s">
        <v>122</v>
      </c>
      <c r="C975" s="47" t="s">
        <v>377</v>
      </c>
      <c r="D975" s="47" t="s">
        <v>173</v>
      </c>
      <c r="E975" s="50">
        <f>E976</f>
        <v>0</v>
      </c>
      <c r="F975" s="50"/>
    </row>
    <row r="976" spans="1:6" s="2" customFormat="1" ht="33" customHeight="1">
      <c r="A976" s="46" t="s">
        <v>176</v>
      </c>
      <c r="B976" s="47" t="s">
        <v>122</v>
      </c>
      <c r="C976" s="47" t="s">
        <v>377</v>
      </c>
      <c r="D976" s="47" t="s">
        <v>175</v>
      </c>
      <c r="E976" s="50"/>
      <c r="F976" s="50"/>
    </row>
    <row r="977" spans="1:6" s="2" customFormat="1" ht="21.75" customHeight="1">
      <c r="A977" s="46" t="s">
        <v>178</v>
      </c>
      <c r="B977" s="47" t="s">
        <v>122</v>
      </c>
      <c r="C977" s="47" t="s">
        <v>377</v>
      </c>
      <c r="D977" s="47" t="s">
        <v>177</v>
      </c>
      <c r="E977" s="50">
        <f>E978</f>
        <v>0</v>
      </c>
      <c r="F977" s="50"/>
    </row>
    <row r="978" spans="1:6" s="2" customFormat="1" ht="21.75" customHeight="1">
      <c r="A978" s="58" t="s">
        <v>335</v>
      </c>
      <c r="B978" s="47" t="s">
        <v>122</v>
      </c>
      <c r="C978" s="47" t="s">
        <v>377</v>
      </c>
      <c r="D978" s="47" t="s">
        <v>334</v>
      </c>
      <c r="E978" s="115"/>
      <c r="F978" s="50"/>
    </row>
    <row r="979" spans="1:6" s="1" customFormat="1" ht="24.75" customHeight="1">
      <c r="A979" s="41" t="s">
        <v>117</v>
      </c>
      <c r="B979" s="39" t="s">
        <v>122</v>
      </c>
      <c r="C979" s="39" t="s">
        <v>135</v>
      </c>
      <c r="D979" s="39"/>
      <c r="E979" s="40">
        <f>E983+E980</f>
        <v>0</v>
      </c>
      <c r="F979" s="40">
        <f>F983+F980</f>
        <v>0</v>
      </c>
    </row>
    <row r="980" spans="1:6" s="1" customFormat="1" ht="78" customHeight="1">
      <c r="A980" s="41" t="s">
        <v>16</v>
      </c>
      <c r="B980" s="39" t="s">
        <v>122</v>
      </c>
      <c r="C980" s="39" t="s">
        <v>437</v>
      </c>
      <c r="D980" s="39"/>
      <c r="E980" s="57">
        <f>E981</f>
        <v>0</v>
      </c>
      <c r="F980" s="57">
        <f>F981</f>
        <v>0</v>
      </c>
    </row>
    <row r="981" spans="1:6" s="1" customFormat="1" ht="66" customHeight="1">
      <c r="A981" s="43" t="s">
        <v>331</v>
      </c>
      <c r="B981" s="39" t="s">
        <v>122</v>
      </c>
      <c r="C981" s="39" t="s">
        <v>437</v>
      </c>
      <c r="D981" s="39" t="s">
        <v>179</v>
      </c>
      <c r="E981" s="57">
        <f>E982</f>
        <v>0</v>
      </c>
      <c r="F981" s="57">
        <f>F982</f>
        <v>0</v>
      </c>
    </row>
    <row r="982" spans="1:6" s="1" customFormat="1" ht="20.25" customHeight="1">
      <c r="A982" s="46" t="s">
        <v>333</v>
      </c>
      <c r="B982" s="39" t="s">
        <v>122</v>
      </c>
      <c r="C982" s="39" t="s">
        <v>437</v>
      </c>
      <c r="D982" s="39" t="s">
        <v>332</v>
      </c>
      <c r="E982" s="40"/>
      <c r="F982" s="40">
        <f>E982</f>
        <v>0</v>
      </c>
    </row>
    <row r="983" spans="1:6" s="1" customFormat="1" ht="80.25" customHeight="1">
      <c r="A983" s="51" t="s">
        <v>66</v>
      </c>
      <c r="B983" s="39" t="s">
        <v>122</v>
      </c>
      <c r="C983" s="39" t="s">
        <v>378</v>
      </c>
      <c r="D983" s="39"/>
      <c r="E983" s="40">
        <f>E984+E986+E988</f>
        <v>0</v>
      </c>
      <c r="F983" s="40">
        <f>F984+F986</f>
        <v>0</v>
      </c>
    </row>
    <row r="984" spans="1:6" s="1" customFormat="1" ht="68.25" customHeight="1">
      <c r="A984" s="42" t="s">
        <v>331</v>
      </c>
      <c r="B984" s="39" t="s">
        <v>122</v>
      </c>
      <c r="C984" s="39" t="s">
        <v>378</v>
      </c>
      <c r="D984" s="47" t="s">
        <v>179</v>
      </c>
      <c r="E984" s="40">
        <f>E985</f>
        <v>869</v>
      </c>
      <c r="F984" s="40"/>
    </row>
    <row r="985" spans="1:6" s="1" customFormat="1" ht="24.75" customHeight="1">
      <c r="A985" s="58" t="s">
        <v>333</v>
      </c>
      <c r="B985" s="39" t="s">
        <v>122</v>
      </c>
      <c r="C985" s="39" t="s">
        <v>378</v>
      </c>
      <c r="D985" s="47" t="s">
        <v>332</v>
      </c>
      <c r="E985" s="40">
        <f>869</f>
        <v>869</v>
      </c>
      <c r="F985" s="40"/>
    </row>
    <row r="986" spans="1:6" s="1" customFormat="1" ht="17.25" customHeight="1">
      <c r="A986" s="46" t="s">
        <v>174</v>
      </c>
      <c r="B986" s="10" t="s">
        <v>122</v>
      </c>
      <c r="C986" s="39" t="s">
        <v>378</v>
      </c>
      <c r="D986" s="48" t="s">
        <v>173</v>
      </c>
      <c r="E986" s="57">
        <f>E987</f>
        <v>-839.9</v>
      </c>
      <c r="F986" s="57"/>
    </row>
    <row r="987" spans="1:6" s="1" customFormat="1" ht="31.5" customHeight="1">
      <c r="A987" s="46" t="s">
        <v>176</v>
      </c>
      <c r="B987" s="39" t="s">
        <v>122</v>
      </c>
      <c r="C987" s="39" t="s">
        <v>378</v>
      </c>
      <c r="D987" s="47" t="s">
        <v>175</v>
      </c>
      <c r="E987" s="40">
        <f>-839.9</f>
        <v>-839.9</v>
      </c>
      <c r="F987" s="40"/>
    </row>
    <row r="988" spans="1:6" s="1" customFormat="1" ht="18" customHeight="1">
      <c r="A988" s="46" t="s">
        <v>178</v>
      </c>
      <c r="B988" s="39" t="s">
        <v>122</v>
      </c>
      <c r="C988" s="39" t="s">
        <v>378</v>
      </c>
      <c r="D988" s="47" t="s">
        <v>177</v>
      </c>
      <c r="E988" s="40">
        <f>E989</f>
        <v>-29.1</v>
      </c>
      <c r="F988" s="40"/>
    </row>
    <row r="989" spans="1:6" s="1" customFormat="1" ht="18" customHeight="1">
      <c r="A989" s="58" t="s">
        <v>335</v>
      </c>
      <c r="B989" s="39" t="s">
        <v>122</v>
      </c>
      <c r="C989" s="39" t="s">
        <v>378</v>
      </c>
      <c r="D989" s="47" t="s">
        <v>334</v>
      </c>
      <c r="E989" s="40">
        <f>-29.1</f>
        <v>-29.1</v>
      </c>
      <c r="F989" s="40"/>
    </row>
    <row r="990" spans="1:6" s="1" customFormat="1" ht="30.75" customHeight="1">
      <c r="A990" s="42" t="s">
        <v>401</v>
      </c>
      <c r="B990" s="39" t="s">
        <v>122</v>
      </c>
      <c r="C990" s="39" t="s">
        <v>379</v>
      </c>
      <c r="D990" s="39"/>
      <c r="E990" s="40">
        <f>E991</f>
        <v>0</v>
      </c>
      <c r="F990" s="40"/>
    </row>
    <row r="991" spans="1:6" s="1" customFormat="1" ht="36" customHeight="1">
      <c r="A991" s="36" t="s">
        <v>339</v>
      </c>
      <c r="B991" s="10" t="s">
        <v>122</v>
      </c>
      <c r="C991" s="39" t="s">
        <v>379</v>
      </c>
      <c r="D991" s="39" t="s">
        <v>338</v>
      </c>
      <c r="E991" s="57">
        <f>E992</f>
        <v>0</v>
      </c>
      <c r="F991" s="57"/>
    </row>
    <row r="992" spans="1:6" s="1" customFormat="1" ht="26.25" customHeight="1">
      <c r="A992" s="42" t="s">
        <v>337</v>
      </c>
      <c r="B992" s="39" t="s">
        <v>122</v>
      </c>
      <c r="C992" s="39" t="s">
        <v>379</v>
      </c>
      <c r="D992" s="39" t="s">
        <v>336</v>
      </c>
      <c r="E992" s="40"/>
      <c r="F992" s="40"/>
    </row>
    <row r="993" spans="1:6" s="1" customFormat="1" ht="21.75" customHeight="1">
      <c r="A993" s="42" t="s">
        <v>398</v>
      </c>
      <c r="B993" s="39" t="s">
        <v>122</v>
      </c>
      <c r="C993" s="39" t="s">
        <v>380</v>
      </c>
      <c r="D993" s="39"/>
      <c r="E993" s="40">
        <f>E994</f>
        <v>0</v>
      </c>
      <c r="F993" s="40"/>
    </row>
    <row r="994" spans="1:6" s="1" customFormat="1" ht="28.5" customHeight="1">
      <c r="A994" s="36" t="s">
        <v>339</v>
      </c>
      <c r="B994" s="10" t="s">
        <v>122</v>
      </c>
      <c r="C994" s="39" t="s">
        <v>380</v>
      </c>
      <c r="D994" s="39" t="s">
        <v>338</v>
      </c>
      <c r="E994" s="57">
        <f>E995</f>
        <v>0</v>
      </c>
      <c r="F994" s="57"/>
    </row>
    <row r="995" spans="1:6" s="1" customFormat="1" ht="22.5" customHeight="1">
      <c r="A995" s="43" t="s">
        <v>337</v>
      </c>
      <c r="B995" s="10" t="s">
        <v>122</v>
      </c>
      <c r="C995" s="39" t="s">
        <v>380</v>
      </c>
      <c r="D995" s="39" t="s">
        <v>336</v>
      </c>
      <c r="E995" s="57"/>
      <c r="F995" s="57"/>
    </row>
    <row r="996" spans="1:6" s="1" customFormat="1" ht="75.75" customHeight="1">
      <c r="A996" s="36" t="s">
        <v>265</v>
      </c>
      <c r="B996" s="47" t="s">
        <v>122</v>
      </c>
      <c r="C996" s="37" t="s">
        <v>241</v>
      </c>
      <c r="D996" s="63"/>
      <c r="E996" s="40">
        <f>E997</f>
        <v>0</v>
      </c>
      <c r="F996" s="13"/>
    </row>
    <row r="997" spans="1:6" s="1" customFormat="1" ht="35.25" customHeight="1">
      <c r="A997" s="46" t="s">
        <v>240</v>
      </c>
      <c r="B997" s="47" t="s">
        <v>122</v>
      </c>
      <c r="C997" s="37" t="s">
        <v>239</v>
      </c>
      <c r="D997" s="63"/>
      <c r="E997" s="40">
        <f>E998</f>
        <v>0</v>
      </c>
      <c r="F997" s="13"/>
    </row>
    <row r="998" spans="1:6" s="1" customFormat="1" ht="22.5" customHeight="1">
      <c r="A998" s="46" t="s">
        <v>174</v>
      </c>
      <c r="B998" s="47" t="s">
        <v>122</v>
      </c>
      <c r="C998" s="37" t="s">
        <v>239</v>
      </c>
      <c r="D998" s="39" t="s">
        <v>173</v>
      </c>
      <c r="E998" s="40">
        <f>E999</f>
        <v>0</v>
      </c>
      <c r="F998" s="13"/>
    </row>
    <row r="999" spans="1:6" s="1" customFormat="1" ht="30.75" customHeight="1">
      <c r="A999" s="46" t="s">
        <v>176</v>
      </c>
      <c r="B999" s="47" t="s">
        <v>122</v>
      </c>
      <c r="C999" s="37" t="s">
        <v>239</v>
      </c>
      <c r="D999" s="39" t="s">
        <v>175</v>
      </c>
      <c r="E999" s="40"/>
      <c r="F999" s="13"/>
    </row>
    <row r="1000" spans="1:6" s="1" customFormat="1" ht="17.25" customHeight="1">
      <c r="A1000" s="22" t="s">
        <v>78</v>
      </c>
      <c r="B1000" s="19" t="s">
        <v>124</v>
      </c>
      <c r="C1000" s="19"/>
      <c r="D1000" s="19"/>
      <c r="E1000" s="20">
        <f>E1028+E1001</f>
        <v>2125.6</v>
      </c>
      <c r="F1000" s="20">
        <f>F1028+F1001</f>
        <v>0</v>
      </c>
    </row>
    <row r="1001" spans="1:6" s="1" customFormat="1" ht="18" customHeight="1">
      <c r="A1001" s="59" t="s">
        <v>125</v>
      </c>
      <c r="B1001" s="63" t="s">
        <v>126</v>
      </c>
      <c r="C1001" s="82"/>
      <c r="D1001" s="63"/>
      <c r="E1001" s="13">
        <f>E1002</f>
        <v>2125.6</v>
      </c>
      <c r="F1001" s="13">
        <f>F1002</f>
        <v>0</v>
      </c>
    </row>
    <row r="1002" spans="1:6" s="1" customFormat="1" ht="32.25" customHeight="1">
      <c r="A1002" s="36" t="s">
        <v>273</v>
      </c>
      <c r="B1002" s="10" t="s">
        <v>126</v>
      </c>
      <c r="C1002" s="10" t="s">
        <v>362</v>
      </c>
      <c r="D1002" s="38"/>
      <c r="E1002" s="57">
        <f>E1003+E1016</f>
        <v>2125.6</v>
      </c>
      <c r="F1002" s="57">
        <f>F1003+F1016</f>
        <v>0</v>
      </c>
    </row>
    <row r="1003" spans="1:6" s="1" customFormat="1" ht="23.25" customHeight="1">
      <c r="A1003" s="36" t="s">
        <v>166</v>
      </c>
      <c r="B1003" s="10" t="s">
        <v>126</v>
      </c>
      <c r="C1003" s="10" t="s">
        <v>381</v>
      </c>
      <c r="D1003" s="38"/>
      <c r="E1003" s="57">
        <f>E1004+E1007+E1010+E1013</f>
        <v>0</v>
      </c>
      <c r="F1003" s="57">
        <f>F1004+F1007+F1010</f>
        <v>0</v>
      </c>
    </row>
    <row r="1004" spans="1:6" s="1" customFormat="1" ht="19.5" customHeight="1">
      <c r="A1004" s="51" t="s">
        <v>406</v>
      </c>
      <c r="B1004" s="37" t="s">
        <v>126</v>
      </c>
      <c r="C1004" s="39" t="s">
        <v>382</v>
      </c>
      <c r="D1004" s="37"/>
      <c r="E1004" s="40">
        <f>E1005</f>
        <v>0</v>
      </c>
      <c r="F1004" s="40"/>
    </row>
    <row r="1005" spans="1:6" s="1" customFormat="1" ht="33.75" customHeight="1">
      <c r="A1005" s="36" t="s">
        <v>339</v>
      </c>
      <c r="B1005" s="10" t="s">
        <v>126</v>
      </c>
      <c r="C1005" s="39" t="s">
        <v>382</v>
      </c>
      <c r="D1005" s="38" t="s">
        <v>338</v>
      </c>
      <c r="E1005" s="57">
        <f>E1006</f>
        <v>0</v>
      </c>
      <c r="F1005" s="57"/>
    </row>
    <row r="1006" spans="1:6" s="1" customFormat="1" ht="27" customHeight="1">
      <c r="A1006" s="43" t="s">
        <v>337</v>
      </c>
      <c r="B1006" s="10" t="s">
        <v>126</v>
      </c>
      <c r="C1006" s="39" t="s">
        <v>382</v>
      </c>
      <c r="D1006" s="38" t="s">
        <v>336</v>
      </c>
      <c r="E1006" s="57"/>
      <c r="F1006" s="57"/>
    </row>
    <row r="1007" spans="1:6" s="1" customFormat="1" ht="34.5" customHeight="1">
      <c r="A1007" s="42" t="s">
        <v>169</v>
      </c>
      <c r="B1007" s="39" t="s">
        <v>126</v>
      </c>
      <c r="C1007" s="39" t="s">
        <v>512</v>
      </c>
      <c r="D1007" s="37"/>
      <c r="E1007" s="40">
        <f>E1008</f>
        <v>0</v>
      </c>
      <c r="F1007" s="40"/>
    </row>
    <row r="1008" spans="1:6" s="1" customFormat="1" ht="36" customHeight="1">
      <c r="A1008" s="36" t="s">
        <v>339</v>
      </c>
      <c r="B1008" s="10" t="s">
        <v>126</v>
      </c>
      <c r="C1008" s="39" t="s">
        <v>512</v>
      </c>
      <c r="D1008" s="38" t="s">
        <v>338</v>
      </c>
      <c r="E1008" s="57">
        <f>E1009</f>
        <v>0</v>
      </c>
      <c r="F1008" s="57"/>
    </row>
    <row r="1009" spans="1:6" s="1" customFormat="1" ht="19.5" customHeight="1">
      <c r="A1009" s="43" t="s">
        <v>337</v>
      </c>
      <c r="B1009" s="10" t="s">
        <v>126</v>
      </c>
      <c r="C1009" s="39" t="s">
        <v>512</v>
      </c>
      <c r="D1009" s="38" t="s">
        <v>336</v>
      </c>
      <c r="E1009" s="57"/>
      <c r="F1009" s="57"/>
    </row>
    <row r="1010" spans="1:6" s="1" customFormat="1" ht="34.5" customHeight="1">
      <c r="A1010" s="46" t="s">
        <v>199</v>
      </c>
      <c r="B1010" s="48" t="s">
        <v>126</v>
      </c>
      <c r="C1010" s="39" t="s">
        <v>235</v>
      </c>
      <c r="D1010" s="70"/>
      <c r="E1010" s="53">
        <f>E1011</f>
        <v>0</v>
      </c>
      <c r="F1010" s="53"/>
    </row>
    <row r="1011" spans="1:6" s="1" customFormat="1" ht="30.75" customHeight="1">
      <c r="A1011" s="60" t="s">
        <v>339</v>
      </c>
      <c r="B1011" s="48" t="s">
        <v>126</v>
      </c>
      <c r="C1011" s="39" t="s">
        <v>235</v>
      </c>
      <c r="D1011" s="70" t="s">
        <v>338</v>
      </c>
      <c r="E1011" s="53">
        <f>E1012</f>
        <v>0</v>
      </c>
      <c r="F1011" s="53"/>
    </row>
    <row r="1012" spans="1:6" s="1" customFormat="1" ht="22.5" customHeight="1">
      <c r="A1012" s="43" t="s">
        <v>337</v>
      </c>
      <c r="B1012" s="48" t="s">
        <v>126</v>
      </c>
      <c r="C1012" s="39" t="s">
        <v>235</v>
      </c>
      <c r="D1012" s="70" t="s">
        <v>336</v>
      </c>
      <c r="E1012" s="53"/>
      <c r="F1012" s="53"/>
    </row>
    <row r="1013" spans="1:6" s="1" customFormat="1" ht="22.5" customHeight="1">
      <c r="A1013" s="42" t="s">
        <v>394</v>
      </c>
      <c r="B1013" s="48" t="s">
        <v>126</v>
      </c>
      <c r="C1013" s="39" t="s">
        <v>712</v>
      </c>
      <c r="D1013" s="39"/>
      <c r="E1013" s="40">
        <f>E1014</f>
        <v>0</v>
      </c>
      <c r="F1013" s="44"/>
    </row>
    <row r="1014" spans="1:6" s="1" customFormat="1" ht="31.5" customHeight="1">
      <c r="A1014" s="36" t="s">
        <v>339</v>
      </c>
      <c r="B1014" s="48" t="s">
        <v>126</v>
      </c>
      <c r="C1014" s="39" t="s">
        <v>712</v>
      </c>
      <c r="D1014" s="78" t="s">
        <v>338</v>
      </c>
      <c r="E1014" s="40">
        <f>E1015</f>
        <v>0</v>
      </c>
      <c r="F1014" s="45"/>
    </row>
    <row r="1015" spans="1:6" s="1" customFormat="1" ht="22.5" customHeight="1">
      <c r="A1015" s="42" t="s">
        <v>337</v>
      </c>
      <c r="B1015" s="48" t="s">
        <v>126</v>
      </c>
      <c r="C1015" s="39" t="s">
        <v>712</v>
      </c>
      <c r="D1015" s="39" t="s">
        <v>336</v>
      </c>
      <c r="E1015" s="40"/>
      <c r="F1015" s="44"/>
    </row>
    <row r="1016" spans="1:6" s="1" customFormat="1" ht="48" customHeight="1">
      <c r="A1016" s="43" t="s">
        <v>2</v>
      </c>
      <c r="B1016" s="10" t="s">
        <v>126</v>
      </c>
      <c r="C1016" s="10" t="s">
        <v>383</v>
      </c>
      <c r="D1016" s="38"/>
      <c r="E1016" s="57">
        <f>E1017+E1020+E1025</f>
        <v>2125.6</v>
      </c>
      <c r="F1016" s="57">
        <f>F1017+F1020</f>
        <v>0</v>
      </c>
    </row>
    <row r="1017" spans="1:6" s="1" customFormat="1" ht="21.75" customHeight="1">
      <c r="A1017" s="41" t="s">
        <v>407</v>
      </c>
      <c r="B1017" s="10" t="s">
        <v>126</v>
      </c>
      <c r="C1017" s="10" t="s">
        <v>384</v>
      </c>
      <c r="D1017" s="38"/>
      <c r="E1017" s="57">
        <f>E1018</f>
        <v>0</v>
      </c>
      <c r="F1017" s="57"/>
    </row>
    <row r="1018" spans="1:6" s="1" customFormat="1" ht="30" customHeight="1">
      <c r="A1018" s="60" t="s">
        <v>339</v>
      </c>
      <c r="B1018" s="39" t="s">
        <v>126</v>
      </c>
      <c r="C1018" s="39" t="s">
        <v>384</v>
      </c>
      <c r="D1018" s="37" t="s">
        <v>338</v>
      </c>
      <c r="E1018" s="40">
        <f>E1019</f>
        <v>0</v>
      </c>
      <c r="F1018" s="40"/>
    </row>
    <row r="1019" spans="1:6" s="1" customFormat="1" ht="22.5" customHeight="1">
      <c r="A1019" s="42" t="s">
        <v>337</v>
      </c>
      <c r="B1019" s="39" t="s">
        <v>126</v>
      </c>
      <c r="C1019" s="10" t="s">
        <v>384</v>
      </c>
      <c r="D1019" s="37" t="s">
        <v>336</v>
      </c>
      <c r="E1019" s="40"/>
      <c r="F1019" s="40"/>
    </row>
    <row r="1020" spans="1:6" s="1" customFormat="1" ht="21" customHeight="1">
      <c r="A1020" s="43" t="s">
        <v>408</v>
      </c>
      <c r="B1020" s="10" t="s">
        <v>126</v>
      </c>
      <c r="C1020" s="10" t="s">
        <v>385</v>
      </c>
      <c r="D1020" s="38"/>
      <c r="E1020" s="57">
        <f>E1023+E1021</f>
        <v>0</v>
      </c>
      <c r="F1020" s="57"/>
    </row>
    <row r="1021" spans="1:6" s="1" customFormat="1" ht="24" customHeight="1">
      <c r="A1021" s="46" t="s">
        <v>174</v>
      </c>
      <c r="B1021" s="10" t="s">
        <v>126</v>
      </c>
      <c r="C1021" s="10" t="s">
        <v>385</v>
      </c>
      <c r="D1021" s="38" t="s">
        <v>173</v>
      </c>
      <c r="E1021" s="57">
        <f>E1022</f>
        <v>0</v>
      </c>
      <c r="F1021" s="57"/>
    </row>
    <row r="1022" spans="1:6" s="1" customFormat="1" ht="32.25" customHeight="1">
      <c r="A1022" s="46" t="s">
        <v>176</v>
      </c>
      <c r="B1022" s="10" t="s">
        <v>126</v>
      </c>
      <c r="C1022" s="10" t="s">
        <v>385</v>
      </c>
      <c r="D1022" s="38" t="s">
        <v>175</v>
      </c>
      <c r="E1022" s="57"/>
      <c r="F1022" s="57"/>
    </row>
    <row r="1023" spans="1:6" s="1" customFormat="1" ht="34.5" customHeight="1">
      <c r="A1023" s="36" t="s">
        <v>339</v>
      </c>
      <c r="B1023" s="10" t="s">
        <v>126</v>
      </c>
      <c r="C1023" s="10" t="s">
        <v>385</v>
      </c>
      <c r="D1023" s="38" t="s">
        <v>338</v>
      </c>
      <c r="E1023" s="57">
        <f>E1024</f>
        <v>0</v>
      </c>
      <c r="F1023" s="57"/>
    </row>
    <row r="1024" spans="1:6" s="1" customFormat="1" ht="21.75" customHeight="1">
      <c r="A1024" s="42" t="s">
        <v>337</v>
      </c>
      <c r="B1024" s="39" t="s">
        <v>126</v>
      </c>
      <c r="C1024" s="10" t="s">
        <v>385</v>
      </c>
      <c r="D1024" s="37" t="s">
        <v>336</v>
      </c>
      <c r="E1024" s="40"/>
      <c r="F1024" s="40"/>
    </row>
    <row r="1025" spans="1:6" s="1" customFormat="1" ht="31.5" customHeight="1">
      <c r="A1025" s="43" t="s">
        <v>506</v>
      </c>
      <c r="B1025" s="39" t="s">
        <v>126</v>
      </c>
      <c r="C1025" s="10" t="s">
        <v>507</v>
      </c>
      <c r="D1025" s="38"/>
      <c r="E1025" s="57">
        <f>E1026</f>
        <v>2125.6</v>
      </c>
      <c r="F1025" s="57"/>
    </row>
    <row r="1026" spans="1:6" s="1" customFormat="1" ht="21.75" customHeight="1">
      <c r="A1026" s="46" t="s">
        <v>174</v>
      </c>
      <c r="B1026" s="39" t="s">
        <v>126</v>
      </c>
      <c r="C1026" s="10" t="s">
        <v>507</v>
      </c>
      <c r="D1026" s="38" t="s">
        <v>173</v>
      </c>
      <c r="E1026" s="57">
        <f>E1027</f>
        <v>2125.6</v>
      </c>
      <c r="F1026" s="57"/>
    </row>
    <row r="1027" spans="1:6" s="1" customFormat="1" ht="30.75" customHeight="1">
      <c r="A1027" s="46" t="s">
        <v>176</v>
      </c>
      <c r="B1027" s="39" t="s">
        <v>126</v>
      </c>
      <c r="C1027" s="10" t="s">
        <v>507</v>
      </c>
      <c r="D1027" s="38" t="s">
        <v>175</v>
      </c>
      <c r="E1027" s="57">
        <v>2125.6</v>
      </c>
      <c r="F1027" s="57"/>
    </row>
    <row r="1028" spans="1:6" s="1" customFormat="1" ht="14.25">
      <c r="A1028" s="49" t="s">
        <v>51</v>
      </c>
      <c r="B1028" s="85" t="s">
        <v>52</v>
      </c>
      <c r="C1028" s="86"/>
      <c r="D1028" s="85"/>
      <c r="E1028" s="12">
        <f>E1029</f>
        <v>0</v>
      </c>
      <c r="F1028" s="12"/>
    </row>
    <row r="1029" spans="1:6" s="1" customFormat="1" ht="21" customHeight="1">
      <c r="A1029" s="43" t="s">
        <v>167</v>
      </c>
      <c r="B1029" s="38" t="s">
        <v>52</v>
      </c>
      <c r="C1029" s="10" t="s">
        <v>386</v>
      </c>
      <c r="D1029" s="38"/>
      <c r="E1029" s="57">
        <f>E1030</f>
        <v>0</v>
      </c>
      <c r="F1029" s="57"/>
    </row>
    <row r="1030" spans="1:6" s="1" customFormat="1" ht="68.25" customHeight="1">
      <c r="A1030" s="51" t="s">
        <v>123</v>
      </c>
      <c r="B1030" s="37" t="s">
        <v>52</v>
      </c>
      <c r="C1030" s="39" t="s">
        <v>387</v>
      </c>
      <c r="D1030" s="39"/>
      <c r="E1030" s="40">
        <f>E1031+E1033+E1035</f>
        <v>0</v>
      </c>
      <c r="F1030" s="40"/>
    </row>
    <row r="1031" spans="1:6" s="1" customFormat="1" ht="66" customHeight="1">
      <c r="A1031" s="42" t="s">
        <v>331</v>
      </c>
      <c r="B1031" s="37" t="s">
        <v>52</v>
      </c>
      <c r="C1031" s="39" t="s">
        <v>387</v>
      </c>
      <c r="D1031" s="39" t="s">
        <v>179</v>
      </c>
      <c r="E1031" s="40">
        <f>E1032</f>
        <v>0</v>
      </c>
      <c r="F1031" s="40"/>
    </row>
    <row r="1032" spans="1:6" s="1" customFormat="1" ht="24" customHeight="1">
      <c r="A1032" s="42" t="s">
        <v>333</v>
      </c>
      <c r="B1032" s="37" t="s">
        <v>52</v>
      </c>
      <c r="C1032" s="39" t="s">
        <v>387</v>
      </c>
      <c r="D1032" s="39" t="s">
        <v>332</v>
      </c>
      <c r="E1032" s="40"/>
      <c r="F1032" s="40"/>
    </row>
    <row r="1033" spans="1:6" s="1" customFormat="1" ht="21.75" customHeight="1">
      <c r="A1033" s="46" t="s">
        <v>174</v>
      </c>
      <c r="B1033" s="38" t="s">
        <v>52</v>
      </c>
      <c r="C1033" s="39" t="s">
        <v>387</v>
      </c>
      <c r="D1033" s="10" t="s">
        <v>173</v>
      </c>
      <c r="E1033" s="57">
        <f>E1034</f>
        <v>0</v>
      </c>
      <c r="F1033" s="57"/>
    </row>
    <row r="1034" spans="1:6" s="1" customFormat="1" ht="30.75" customHeight="1">
      <c r="A1034" s="58" t="s">
        <v>176</v>
      </c>
      <c r="B1034" s="37" t="s">
        <v>52</v>
      </c>
      <c r="C1034" s="39" t="s">
        <v>387</v>
      </c>
      <c r="D1034" s="39" t="s">
        <v>175</v>
      </c>
      <c r="E1034" s="40"/>
      <c r="F1034" s="40"/>
    </row>
    <row r="1035" spans="1:6" s="1" customFormat="1" ht="20.25" customHeight="1">
      <c r="A1035" s="46" t="s">
        <v>178</v>
      </c>
      <c r="B1035" s="38" t="s">
        <v>52</v>
      </c>
      <c r="C1035" s="39" t="s">
        <v>387</v>
      </c>
      <c r="D1035" s="10" t="s">
        <v>177</v>
      </c>
      <c r="E1035" s="57">
        <f>E1036</f>
        <v>0</v>
      </c>
      <c r="F1035" s="57"/>
    </row>
    <row r="1036" spans="1:6" s="1" customFormat="1" ht="21" customHeight="1">
      <c r="A1036" s="58" t="s">
        <v>335</v>
      </c>
      <c r="B1036" s="37" t="s">
        <v>52</v>
      </c>
      <c r="C1036" s="39" t="s">
        <v>387</v>
      </c>
      <c r="D1036" s="39" t="s">
        <v>334</v>
      </c>
      <c r="E1036" s="40"/>
      <c r="F1036" s="40"/>
    </row>
    <row r="1037" spans="1:6" s="1" customFormat="1" ht="24" customHeight="1">
      <c r="A1037" s="25" t="s">
        <v>79</v>
      </c>
      <c r="B1037" s="24" t="s">
        <v>96</v>
      </c>
      <c r="C1037" s="24"/>
      <c r="D1037" s="24"/>
      <c r="E1037" s="26">
        <f>E1038</f>
        <v>0</v>
      </c>
      <c r="F1037" s="26">
        <f>F1038</f>
        <v>0</v>
      </c>
    </row>
    <row r="1038" spans="1:6" ht="17.25" customHeight="1">
      <c r="A1038" s="81" t="s">
        <v>50</v>
      </c>
      <c r="B1038" s="82" t="s">
        <v>80</v>
      </c>
      <c r="C1038" s="82"/>
      <c r="D1038" s="82"/>
      <c r="E1038" s="83">
        <f>E1039</f>
        <v>0</v>
      </c>
      <c r="F1038" s="83">
        <f>F1039</f>
        <v>0</v>
      </c>
    </row>
    <row r="1039" spans="1:6" ht="58.5" customHeight="1">
      <c r="A1039" s="60" t="s">
        <v>255</v>
      </c>
      <c r="B1039" s="47" t="s">
        <v>80</v>
      </c>
      <c r="C1039" s="69" t="s">
        <v>388</v>
      </c>
      <c r="D1039" s="47"/>
      <c r="E1039" s="50">
        <f>E1040+E1043</f>
        <v>0</v>
      </c>
      <c r="F1039" s="50">
        <f>F1040+F1043</f>
        <v>0</v>
      </c>
    </row>
    <row r="1040" spans="1:6" ht="45" customHeight="1">
      <c r="A1040" s="36" t="s">
        <v>18</v>
      </c>
      <c r="B1040" s="48" t="s">
        <v>80</v>
      </c>
      <c r="C1040" s="69" t="s">
        <v>389</v>
      </c>
      <c r="D1040" s="47"/>
      <c r="E1040" s="53">
        <f>E1041</f>
        <v>0</v>
      </c>
      <c r="F1040" s="53">
        <f>F1041</f>
        <v>0</v>
      </c>
    </row>
    <row r="1041" spans="1:6" ht="21.75" customHeight="1">
      <c r="A1041" s="46" t="s">
        <v>42</v>
      </c>
      <c r="B1041" s="48" t="s">
        <v>80</v>
      </c>
      <c r="C1041" s="69" t="s">
        <v>389</v>
      </c>
      <c r="D1041" s="47" t="s">
        <v>347</v>
      </c>
      <c r="E1041" s="53">
        <f>E1042</f>
        <v>0</v>
      </c>
      <c r="F1041" s="53"/>
    </row>
    <row r="1042" spans="1:6" ht="28.5" customHeight="1">
      <c r="A1042" s="51" t="s">
        <v>54</v>
      </c>
      <c r="B1042" s="48" t="s">
        <v>80</v>
      </c>
      <c r="C1042" s="69" t="s">
        <v>389</v>
      </c>
      <c r="D1042" s="47" t="s">
        <v>53</v>
      </c>
      <c r="E1042" s="53"/>
      <c r="F1042" s="53"/>
    </row>
    <row r="1043" spans="1:6" ht="48" customHeight="1">
      <c r="A1043" s="58" t="s">
        <v>19</v>
      </c>
      <c r="B1043" s="47" t="s">
        <v>80</v>
      </c>
      <c r="C1043" s="69" t="s">
        <v>438</v>
      </c>
      <c r="D1043" s="47"/>
      <c r="E1043" s="50">
        <f>E1044</f>
        <v>0</v>
      </c>
      <c r="F1043" s="50">
        <f>F1044</f>
        <v>0</v>
      </c>
    </row>
    <row r="1044" spans="1:6" ht="25.5" customHeight="1">
      <c r="A1044" s="46" t="s">
        <v>174</v>
      </c>
      <c r="B1044" s="48" t="s">
        <v>80</v>
      </c>
      <c r="C1044" s="69" t="s">
        <v>438</v>
      </c>
      <c r="D1044" s="47" t="s">
        <v>173</v>
      </c>
      <c r="E1044" s="53">
        <f>E1045</f>
        <v>0</v>
      </c>
      <c r="F1044" s="53">
        <f>F1045</f>
        <v>0</v>
      </c>
    </row>
    <row r="1045" spans="1:6" ht="34.5" customHeight="1">
      <c r="A1045" s="58" t="s">
        <v>176</v>
      </c>
      <c r="B1045" s="48" t="s">
        <v>80</v>
      </c>
      <c r="C1045" s="69" t="s">
        <v>438</v>
      </c>
      <c r="D1045" s="47" t="s">
        <v>175</v>
      </c>
      <c r="E1045" s="53"/>
      <c r="F1045" s="53">
        <f>E1045</f>
        <v>0</v>
      </c>
    </row>
    <row r="1046" spans="1:8" ht="19.5" customHeight="1">
      <c r="A1046" s="27" t="s">
        <v>104</v>
      </c>
      <c r="B1046" s="28" t="s">
        <v>127</v>
      </c>
      <c r="C1046" s="28"/>
      <c r="D1046" s="28"/>
      <c r="E1046" s="29">
        <f>E1047+E1053+E1080</f>
        <v>-568.8</v>
      </c>
      <c r="F1046" s="29">
        <f>F1047+F1053+F1080</f>
        <v>0</v>
      </c>
      <c r="H1046" s="6"/>
    </row>
    <row r="1047" spans="1:6" ht="15.75" customHeight="1">
      <c r="A1047" s="59" t="s">
        <v>128</v>
      </c>
      <c r="B1047" s="87">
        <v>1001</v>
      </c>
      <c r="C1047" s="63"/>
      <c r="D1047" s="65"/>
      <c r="E1047" s="11">
        <f>E1048</f>
        <v>0</v>
      </c>
      <c r="F1047" s="11"/>
    </row>
    <row r="1048" spans="1:8" ht="18" customHeight="1">
      <c r="A1048" s="36" t="s">
        <v>245</v>
      </c>
      <c r="B1048" s="88">
        <v>1001</v>
      </c>
      <c r="C1048" s="10" t="s">
        <v>20</v>
      </c>
      <c r="D1048" s="38"/>
      <c r="E1048" s="45">
        <f>E1049</f>
        <v>0</v>
      </c>
      <c r="F1048" s="45"/>
      <c r="G1048" s="7"/>
      <c r="H1048" s="8"/>
    </row>
    <row r="1049" spans="1:8" ht="51.75" customHeight="1">
      <c r="A1049" s="36" t="s">
        <v>242</v>
      </c>
      <c r="B1049" s="88">
        <v>1001</v>
      </c>
      <c r="C1049" s="10" t="s">
        <v>27</v>
      </c>
      <c r="D1049" s="38"/>
      <c r="E1049" s="45">
        <f>E1051</f>
        <v>0</v>
      </c>
      <c r="F1049" s="45"/>
      <c r="G1049" s="7"/>
      <c r="H1049" s="8"/>
    </row>
    <row r="1050" spans="1:8" ht="18.75" customHeight="1">
      <c r="A1050" s="41" t="s">
        <v>150</v>
      </c>
      <c r="B1050" s="88">
        <v>1001</v>
      </c>
      <c r="C1050" s="10" t="s">
        <v>28</v>
      </c>
      <c r="D1050" s="38"/>
      <c r="E1050" s="45">
        <f>E1051</f>
        <v>0</v>
      </c>
      <c r="F1050" s="45"/>
      <c r="G1050" s="7"/>
      <c r="H1050" s="8"/>
    </row>
    <row r="1051" spans="1:6" ht="19.5" customHeight="1">
      <c r="A1051" s="51" t="s">
        <v>391</v>
      </c>
      <c r="B1051" s="89">
        <v>1001</v>
      </c>
      <c r="C1051" s="10" t="s">
        <v>28</v>
      </c>
      <c r="D1051" s="37" t="s">
        <v>347</v>
      </c>
      <c r="E1051" s="44">
        <f>E1052</f>
        <v>0</v>
      </c>
      <c r="F1051" s="44"/>
    </row>
    <row r="1052" spans="1:6" ht="24" customHeight="1">
      <c r="A1052" s="41" t="s">
        <v>396</v>
      </c>
      <c r="B1052" s="88">
        <v>1001</v>
      </c>
      <c r="C1052" s="10" t="s">
        <v>28</v>
      </c>
      <c r="D1052" s="38" t="s">
        <v>395</v>
      </c>
      <c r="E1052" s="45"/>
      <c r="F1052" s="45"/>
    </row>
    <row r="1053" spans="1:6" ht="18" customHeight="1">
      <c r="A1053" s="59" t="s">
        <v>130</v>
      </c>
      <c r="B1053" s="63" t="s">
        <v>131</v>
      </c>
      <c r="C1053" s="63"/>
      <c r="D1053" s="63"/>
      <c r="E1053" s="13">
        <f>E1077+E1058+E1054</f>
        <v>-568.8</v>
      </c>
      <c r="F1053" s="13">
        <f>F1077+F1058+F1054</f>
        <v>0</v>
      </c>
    </row>
    <row r="1054" spans="1:6" ht="78.75" customHeight="1">
      <c r="A1054" s="36" t="s">
        <v>269</v>
      </c>
      <c r="B1054" s="39" t="s">
        <v>131</v>
      </c>
      <c r="C1054" s="39" t="s">
        <v>36</v>
      </c>
      <c r="D1054" s="39"/>
      <c r="E1054" s="40">
        <f aca="true" t="shared" si="7" ref="E1054:F1056">E1055</f>
        <v>-472.8</v>
      </c>
      <c r="F1054" s="40">
        <f t="shared" si="7"/>
        <v>0</v>
      </c>
    </row>
    <row r="1055" spans="1:6" ht="32.25" customHeight="1">
      <c r="A1055" s="36" t="s">
        <v>695</v>
      </c>
      <c r="B1055" s="39" t="s">
        <v>131</v>
      </c>
      <c r="C1055" s="39" t="s">
        <v>491</v>
      </c>
      <c r="D1055" s="63"/>
      <c r="E1055" s="40">
        <f t="shared" si="7"/>
        <v>-472.8</v>
      </c>
      <c r="F1055" s="40">
        <f t="shared" si="7"/>
        <v>0</v>
      </c>
    </row>
    <row r="1056" spans="1:6" ht="22.5" customHeight="1">
      <c r="A1056" s="51" t="s">
        <v>391</v>
      </c>
      <c r="B1056" s="39" t="s">
        <v>131</v>
      </c>
      <c r="C1056" s="39" t="s">
        <v>491</v>
      </c>
      <c r="D1056" s="37" t="s">
        <v>347</v>
      </c>
      <c r="E1056" s="40">
        <f t="shared" si="7"/>
        <v>-472.8</v>
      </c>
      <c r="F1056" s="40">
        <f t="shared" si="7"/>
        <v>0</v>
      </c>
    </row>
    <row r="1057" spans="1:6" ht="30" customHeight="1">
      <c r="A1057" s="51" t="s">
        <v>54</v>
      </c>
      <c r="B1057" s="39" t="s">
        <v>131</v>
      </c>
      <c r="C1057" s="39" t="s">
        <v>491</v>
      </c>
      <c r="D1057" s="38" t="s">
        <v>53</v>
      </c>
      <c r="E1057" s="40">
        <v>-472.8</v>
      </c>
      <c r="F1057" s="40"/>
    </row>
    <row r="1058" spans="1:6" ht="36.75" customHeight="1">
      <c r="A1058" s="36" t="s">
        <v>5</v>
      </c>
      <c r="B1058" s="39" t="s">
        <v>131</v>
      </c>
      <c r="C1058" s="39" t="s">
        <v>180</v>
      </c>
      <c r="D1058" s="39"/>
      <c r="E1058" s="40">
        <f>E1066+E1059+E1070</f>
        <v>-96</v>
      </c>
      <c r="F1058" s="40">
        <f>F1066+F1059+F1070</f>
        <v>0</v>
      </c>
    </row>
    <row r="1059" spans="1:6" ht="23.25" customHeight="1">
      <c r="A1059" s="60" t="s">
        <v>301</v>
      </c>
      <c r="B1059" s="39" t="s">
        <v>131</v>
      </c>
      <c r="C1059" s="39" t="s">
        <v>220</v>
      </c>
      <c r="D1059" s="39"/>
      <c r="E1059" s="40">
        <f>E1063+E1060</f>
        <v>0</v>
      </c>
      <c r="F1059" s="40">
        <f>F1063+F1060</f>
        <v>0</v>
      </c>
    </row>
    <row r="1060" spans="1:6" ht="30" customHeight="1">
      <c r="A1060" s="51" t="s">
        <v>677</v>
      </c>
      <c r="B1060" s="39" t="s">
        <v>131</v>
      </c>
      <c r="C1060" s="39" t="s">
        <v>248</v>
      </c>
      <c r="D1060" s="39"/>
      <c r="E1060" s="40">
        <f>E1061</f>
        <v>0</v>
      </c>
      <c r="F1060" s="40">
        <f>F1061</f>
        <v>0</v>
      </c>
    </row>
    <row r="1061" spans="1:6" ht="23.25" customHeight="1">
      <c r="A1061" s="51" t="s">
        <v>391</v>
      </c>
      <c r="B1061" s="39" t="s">
        <v>131</v>
      </c>
      <c r="C1061" s="39" t="s">
        <v>248</v>
      </c>
      <c r="D1061" s="39" t="s">
        <v>347</v>
      </c>
      <c r="E1061" s="40">
        <f>E1062</f>
        <v>0</v>
      </c>
      <c r="F1061" s="40">
        <f>F1062</f>
        <v>0</v>
      </c>
    </row>
    <row r="1062" spans="1:6" ht="30" customHeight="1">
      <c r="A1062" s="51" t="s">
        <v>54</v>
      </c>
      <c r="B1062" s="39" t="s">
        <v>131</v>
      </c>
      <c r="C1062" s="39" t="s">
        <v>248</v>
      </c>
      <c r="D1062" s="39" t="s">
        <v>53</v>
      </c>
      <c r="E1062" s="40"/>
      <c r="F1062" s="40">
        <f>E1062</f>
        <v>0</v>
      </c>
    </row>
    <row r="1063" spans="1:6" ht="36" customHeight="1">
      <c r="A1063" s="51" t="s">
        <v>493</v>
      </c>
      <c r="B1063" s="39" t="s">
        <v>131</v>
      </c>
      <c r="C1063" s="39" t="s">
        <v>248</v>
      </c>
      <c r="D1063" s="39"/>
      <c r="E1063" s="40">
        <f>E1064</f>
        <v>0</v>
      </c>
      <c r="F1063" s="40"/>
    </row>
    <row r="1064" spans="1:6" ht="23.25" customHeight="1">
      <c r="A1064" s="51" t="s">
        <v>391</v>
      </c>
      <c r="B1064" s="39" t="s">
        <v>131</v>
      </c>
      <c r="C1064" s="39" t="s">
        <v>248</v>
      </c>
      <c r="D1064" s="39" t="s">
        <v>347</v>
      </c>
      <c r="E1064" s="40">
        <f>E1065</f>
        <v>0</v>
      </c>
      <c r="F1064" s="40"/>
    </row>
    <row r="1065" spans="1:6" ht="33.75" customHeight="1">
      <c r="A1065" s="51" t="s">
        <v>54</v>
      </c>
      <c r="B1065" s="39" t="s">
        <v>131</v>
      </c>
      <c r="C1065" s="39" t="s">
        <v>248</v>
      </c>
      <c r="D1065" s="39" t="s">
        <v>53</v>
      </c>
      <c r="E1065" s="40"/>
      <c r="F1065" s="40"/>
    </row>
    <row r="1066" spans="1:6" ht="35.25" customHeight="1">
      <c r="A1066" s="60" t="s">
        <v>296</v>
      </c>
      <c r="B1066" s="39" t="s">
        <v>131</v>
      </c>
      <c r="C1066" s="39" t="s">
        <v>330</v>
      </c>
      <c r="D1066" s="39"/>
      <c r="E1066" s="40">
        <f>E1067</f>
        <v>-96</v>
      </c>
      <c r="F1066" s="40">
        <f>F1067</f>
        <v>0</v>
      </c>
    </row>
    <row r="1067" spans="1:6" ht="67.5" customHeight="1">
      <c r="A1067" s="51" t="s">
        <v>221</v>
      </c>
      <c r="B1067" s="39" t="s">
        <v>131</v>
      </c>
      <c r="C1067" s="39" t="s">
        <v>297</v>
      </c>
      <c r="D1067" s="39"/>
      <c r="E1067" s="40">
        <f>E1068</f>
        <v>-96</v>
      </c>
      <c r="F1067" s="40"/>
    </row>
    <row r="1068" spans="1:6" ht="24" customHeight="1">
      <c r="A1068" s="51" t="s">
        <v>391</v>
      </c>
      <c r="B1068" s="39" t="s">
        <v>131</v>
      </c>
      <c r="C1068" s="39" t="s">
        <v>297</v>
      </c>
      <c r="D1068" s="39" t="s">
        <v>347</v>
      </c>
      <c r="E1068" s="40">
        <f>E1069</f>
        <v>-96</v>
      </c>
      <c r="F1068" s="40"/>
    </row>
    <row r="1069" spans="1:6" ht="33" customHeight="1">
      <c r="A1069" s="51" t="s">
        <v>54</v>
      </c>
      <c r="B1069" s="39" t="s">
        <v>131</v>
      </c>
      <c r="C1069" s="39" t="s">
        <v>297</v>
      </c>
      <c r="D1069" s="39" t="s">
        <v>53</v>
      </c>
      <c r="E1069" s="40">
        <v>-96</v>
      </c>
      <c r="F1069" s="40"/>
    </row>
    <row r="1070" spans="1:6" ht="44.25" customHeight="1">
      <c r="A1070" s="51" t="s">
        <v>299</v>
      </c>
      <c r="B1070" s="39" t="s">
        <v>131</v>
      </c>
      <c r="C1070" s="39" t="s">
        <v>298</v>
      </c>
      <c r="D1070" s="39"/>
      <c r="E1070" s="40">
        <f>E1074+E1071</f>
        <v>0</v>
      </c>
      <c r="F1070" s="40">
        <f>F1074+F1071</f>
        <v>0</v>
      </c>
    </row>
    <row r="1071" spans="1:6" ht="92.25" customHeight="1">
      <c r="A1071" s="51" t="s">
        <v>628</v>
      </c>
      <c r="B1071" s="39" t="s">
        <v>131</v>
      </c>
      <c r="C1071" s="39" t="s">
        <v>503</v>
      </c>
      <c r="D1071" s="39"/>
      <c r="E1071" s="40">
        <f>E1072</f>
        <v>0</v>
      </c>
      <c r="F1071" s="40">
        <f>F1072</f>
        <v>0</v>
      </c>
    </row>
    <row r="1072" spans="1:6" ht="21" customHeight="1">
      <c r="A1072" s="51" t="s">
        <v>391</v>
      </c>
      <c r="B1072" s="39" t="s">
        <v>131</v>
      </c>
      <c r="C1072" s="39" t="s">
        <v>503</v>
      </c>
      <c r="D1072" s="39" t="s">
        <v>347</v>
      </c>
      <c r="E1072" s="40">
        <f>E1073</f>
        <v>0</v>
      </c>
      <c r="F1072" s="40">
        <f>F1073</f>
        <v>0</v>
      </c>
    </row>
    <row r="1073" spans="1:6" ht="35.25" customHeight="1">
      <c r="A1073" s="51" t="s">
        <v>54</v>
      </c>
      <c r="B1073" s="39" t="s">
        <v>131</v>
      </c>
      <c r="C1073" s="39" t="s">
        <v>503</v>
      </c>
      <c r="D1073" s="39" t="s">
        <v>53</v>
      </c>
      <c r="E1073" s="40"/>
      <c r="F1073" s="40">
        <f>E1073</f>
        <v>0</v>
      </c>
    </row>
    <row r="1074" spans="1:6" ht="120" customHeight="1">
      <c r="A1074" s="102" t="s">
        <v>517</v>
      </c>
      <c r="B1074" s="39" t="s">
        <v>131</v>
      </c>
      <c r="C1074" s="39" t="s">
        <v>516</v>
      </c>
      <c r="D1074" s="39"/>
      <c r="E1074" s="40">
        <f>E1075</f>
        <v>0</v>
      </c>
      <c r="F1074" s="40">
        <f>F1075</f>
        <v>0</v>
      </c>
    </row>
    <row r="1075" spans="1:6" ht="25.5" customHeight="1">
      <c r="A1075" s="51" t="s">
        <v>391</v>
      </c>
      <c r="B1075" s="39" t="s">
        <v>131</v>
      </c>
      <c r="C1075" s="39" t="s">
        <v>516</v>
      </c>
      <c r="D1075" s="39" t="s">
        <v>347</v>
      </c>
      <c r="E1075" s="40">
        <f>E1076</f>
        <v>0</v>
      </c>
      <c r="F1075" s="40">
        <f>F1076</f>
        <v>0</v>
      </c>
    </row>
    <row r="1076" spans="1:6" ht="33" customHeight="1">
      <c r="A1076" s="51" t="s">
        <v>54</v>
      </c>
      <c r="B1076" s="39" t="s">
        <v>131</v>
      </c>
      <c r="C1076" s="39" t="s">
        <v>516</v>
      </c>
      <c r="D1076" s="39" t="s">
        <v>53</v>
      </c>
      <c r="E1076" s="40"/>
      <c r="F1076" s="40">
        <f>E1076</f>
        <v>0</v>
      </c>
    </row>
    <row r="1077" spans="1:6" ht="60.75" customHeight="1">
      <c r="A1077" s="41" t="s">
        <v>0</v>
      </c>
      <c r="B1077" s="39" t="s">
        <v>131</v>
      </c>
      <c r="C1077" s="39" t="s">
        <v>461</v>
      </c>
      <c r="D1077" s="39"/>
      <c r="E1077" s="40">
        <f>E1079</f>
        <v>0</v>
      </c>
      <c r="F1077" s="40">
        <f>F1079</f>
        <v>0</v>
      </c>
    </row>
    <row r="1078" spans="1:6" ht="24" customHeight="1">
      <c r="A1078" s="51" t="s">
        <v>391</v>
      </c>
      <c r="B1078" s="39" t="s">
        <v>131</v>
      </c>
      <c r="C1078" s="39" t="s">
        <v>461</v>
      </c>
      <c r="D1078" s="39" t="s">
        <v>347</v>
      </c>
      <c r="E1078" s="40">
        <f>E1079</f>
        <v>0</v>
      </c>
      <c r="F1078" s="40">
        <f>F1079</f>
        <v>0</v>
      </c>
    </row>
    <row r="1079" spans="1:6" ht="31.5" customHeight="1">
      <c r="A1079" s="41" t="s">
        <v>54</v>
      </c>
      <c r="B1079" s="39" t="s">
        <v>131</v>
      </c>
      <c r="C1079" s="39" t="s">
        <v>461</v>
      </c>
      <c r="D1079" s="39" t="s">
        <v>53</v>
      </c>
      <c r="E1079" s="40"/>
      <c r="F1079" s="40">
        <f>E1079</f>
        <v>0</v>
      </c>
    </row>
    <row r="1080" spans="1:6" ht="22.5" customHeight="1">
      <c r="A1080" s="59" t="s">
        <v>59</v>
      </c>
      <c r="B1080" s="63" t="s">
        <v>129</v>
      </c>
      <c r="C1080" s="63"/>
      <c r="D1080" s="63"/>
      <c r="E1080" s="13">
        <f>E1081+E1087</f>
        <v>0</v>
      </c>
      <c r="F1080" s="13">
        <f>F1081+F1087</f>
        <v>0</v>
      </c>
    </row>
    <row r="1081" spans="1:6" ht="24" customHeight="1">
      <c r="A1081" s="41" t="s">
        <v>163</v>
      </c>
      <c r="B1081" s="39" t="s">
        <v>129</v>
      </c>
      <c r="C1081" s="39" t="s">
        <v>136</v>
      </c>
      <c r="D1081" s="39"/>
      <c r="E1081" s="40">
        <f>E1082</f>
        <v>0</v>
      </c>
      <c r="F1081" s="40">
        <f>F1082</f>
        <v>0</v>
      </c>
    </row>
    <row r="1082" spans="1:6" ht="77.25" customHeight="1">
      <c r="A1082" s="51" t="s">
        <v>277</v>
      </c>
      <c r="B1082" s="39" t="s">
        <v>129</v>
      </c>
      <c r="C1082" s="39" t="s">
        <v>437</v>
      </c>
      <c r="D1082" s="39"/>
      <c r="E1082" s="40">
        <f>E1085+E1083</f>
        <v>0</v>
      </c>
      <c r="F1082" s="40">
        <f>F1085+F1083</f>
        <v>0</v>
      </c>
    </row>
    <row r="1083" spans="1:6" ht="23.25" customHeight="1">
      <c r="A1083" s="46" t="s">
        <v>174</v>
      </c>
      <c r="B1083" s="39" t="s">
        <v>129</v>
      </c>
      <c r="C1083" s="39" t="s">
        <v>437</v>
      </c>
      <c r="D1083" s="39" t="s">
        <v>173</v>
      </c>
      <c r="E1083" s="40">
        <f>E1084</f>
        <v>0</v>
      </c>
      <c r="F1083" s="40">
        <f>F1084</f>
        <v>0</v>
      </c>
    </row>
    <row r="1084" spans="1:6" ht="32.25" customHeight="1">
      <c r="A1084" s="46" t="s">
        <v>176</v>
      </c>
      <c r="B1084" s="39" t="s">
        <v>129</v>
      </c>
      <c r="C1084" s="39" t="s">
        <v>437</v>
      </c>
      <c r="D1084" s="39" t="s">
        <v>175</v>
      </c>
      <c r="E1084" s="40"/>
      <c r="F1084" s="40">
        <f>E1084</f>
        <v>0</v>
      </c>
    </row>
    <row r="1085" spans="1:6" ht="24.75" customHeight="1">
      <c r="A1085" s="51" t="s">
        <v>391</v>
      </c>
      <c r="B1085" s="39" t="s">
        <v>129</v>
      </c>
      <c r="C1085" s="39" t="s">
        <v>437</v>
      </c>
      <c r="D1085" s="39" t="s">
        <v>347</v>
      </c>
      <c r="E1085" s="40">
        <f>E1086</f>
        <v>0</v>
      </c>
      <c r="F1085" s="40">
        <f>F1086</f>
        <v>0</v>
      </c>
    </row>
    <row r="1086" spans="1:6" ht="25.5" customHeight="1">
      <c r="A1086" s="51" t="s">
        <v>396</v>
      </c>
      <c r="B1086" s="39" t="s">
        <v>129</v>
      </c>
      <c r="C1086" s="39" t="s">
        <v>437</v>
      </c>
      <c r="D1086" s="39" t="s">
        <v>395</v>
      </c>
      <c r="E1086" s="40"/>
      <c r="F1086" s="40">
        <f>E1086</f>
        <v>0</v>
      </c>
    </row>
    <row r="1087" spans="1:6" ht="40.5" customHeight="1">
      <c r="A1087" s="60" t="s">
        <v>5</v>
      </c>
      <c r="B1087" s="39" t="s">
        <v>129</v>
      </c>
      <c r="C1087" s="39" t="s">
        <v>180</v>
      </c>
      <c r="D1087" s="39"/>
      <c r="E1087" s="40">
        <f>E1092+E1088</f>
        <v>0</v>
      </c>
      <c r="F1087" s="40">
        <f>F1092+F1088</f>
        <v>0</v>
      </c>
    </row>
    <row r="1088" spans="1:6" ht="22.5" customHeight="1">
      <c r="A1088" s="41" t="s">
        <v>295</v>
      </c>
      <c r="B1088" s="39" t="s">
        <v>129</v>
      </c>
      <c r="C1088" s="39" t="s">
        <v>181</v>
      </c>
      <c r="D1088" s="39"/>
      <c r="E1088" s="40">
        <f>E1090</f>
        <v>0</v>
      </c>
      <c r="F1088" s="40">
        <f>F1090</f>
        <v>0</v>
      </c>
    </row>
    <row r="1089" spans="1:6" ht="30.75" customHeight="1">
      <c r="A1089" s="51" t="s">
        <v>504</v>
      </c>
      <c r="B1089" s="39" t="s">
        <v>129</v>
      </c>
      <c r="C1089" s="39" t="s">
        <v>484</v>
      </c>
      <c r="D1089" s="39"/>
      <c r="E1089" s="40">
        <f>E1090</f>
        <v>0</v>
      </c>
      <c r="F1089" s="40">
        <f>F1090</f>
        <v>0</v>
      </c>
    </row>
    <row r="1090" spans="1:6" ht="18" customHeight="1">
      <c r="A1090" s="51" t="s">
        <v>391</v>
      </c>
      <c r="B1090" s="39" t="s">
        <v>129</v>
      </c>
      <c r="C1090" s="39" t="s">
        <v>484</v>
      </c>
      <c r="D1090" s="39" t="s">
        <v>347</v>
      </c>
      <c r="E1090" s="40">
        <f>E1091</f>
        <v>0</v>
      </c>
      <c r="F1090" s="40">
        <f>F1091</f>
        <v>0</v>
      </c>
    </row>
    <row r="1091" spans="1:6" ht="32.25" customHeight="1">
      <c r="A1091" s="51" t="s">
        <v>54</v>
      </c>
      <c r="B1091" s="39" t="s">
        <v>129</v>
      </c>
      <c r="C1091" s="39" t="s">
        <v>484</v>
      </c>
      <c r="D1091" s="39" t="s">
        <v>53</v>
      </c>
      <c r="E1091" s="40"/>
      <c r="F1091" s="40"/>
    </row>
    <row r="1092" spans="1:6" ht="49.5" customHeight="1">
      <c r="A1092" s="60" t="s">
        <v>532</v>
      </c>
      <c r="B1092" s="39" t="s">
        <v>129</v>
      </c>
      <c r="C1092" s="39" t="s">
        <v>300</v>
      </c>
      <c r="D1092" s="39"/>
      <c r="E1092" s="40">
        <f>E1093</f>
        <v>0</v>
      </c>
      <c r="F1092" s="40">
        <f aca="true" t="shared" si="8" ref="E1092:F1094">F1093</f>
        <v>0</v>
      </c>
    </row>
    <row r="1093" spans="1:6" ht="75.75" customHeight="1">
      <c r="A1093" s="41" t="s">
        <v>487</v>
      </c>
      <c r="B1093" s="39" t="s">
        <v>129</v>
      </c>
      <c r="C1093" s="39" t="s">
        <v>439</v>
      </c>
      <c r="D1093" s="39"/>
      <c r="E1093" s="40">
        <f t="shared" si="8"/>
        <v>0</v>
      </c>
      <c r="F1093" s="40">
        <f t="shared" si="8"/>
        <v>0</v>
      </c>
    </row>
    <row r="1094" spans="1:6" ht="36" customHeight="1">
      <c r="A1094" s="46" t="s">
        <v>325</v>
      </c>
      <c r="B1094" s="39" t="s">
        <v>129</v>
      </c>
      <c r="C1094" s="39" t="s">
        <v>439</v>
      </c>
      <c r="D1094" s="39" t="s">
        <v>392</v>
      </c>
      <c r="E1094" s="40">
        <f t="shared" si="8"/>
        <v>0</v>
      </c>
      <c r="F1094" s="40">
        <f t="shared" si="8"/>
        <v>0</v>
      </c>
    </row>
    <row r="1095" spans="1:6" ht="23.25" customHeight="1">
      <c r="A1095" s="41" t="s">
        <v>393</v>
      </c>
      <c r="B1095" s="39" t="s">
        <v>129</v>
      </c>
      <c r="C1095" s="39" t="s">
        <v>439</v>
      </c>
      <c r="D1095" s="39" t="s">
        <v>397</v>
      </c>
      <c r="E1095" s="40"/>
      <c r="F1095" s="40">
        <f>E1095</f>
        <v>0</v>
      </c>
    </row>
    <row r="1096" spans="1:8" s="4" customFormat="1" ht="22.5" customHeight="1">
      <c r="A1096" s="21" t="s">
        <v>61</v>
      </c>
      <c r="B1096" s="19" t="s">
        <v>82</v>
      </c>
      <c r="C1096" s="19"/>
      <c r="D1096" s="19"/>
      <c r="E1096" s="20">
        <f>E1097+E1137</f>
        <v>0</v>
      </c>
      <c r="F1096" s="20">
        <f>F1097+F1137</f>
        <v>0</v>
      </c>
      <c r="H1096" s="119"/>
    </row>
    <row r="1097" spans="1:6" ht="18.75" customHeight="1">
      <c r="A1097" s="59" t="s">
        <v>69</v>
      </c>
      <c r="B1097" s="63" t="s">
        <v>70</v>
      </c>
      <c r="C1097" s="63"/>
      <c r="D1097" s="65"/>
      <c r="E1097" s="13">
        <f>E1098+E1130</f>
        <v>0</v>
      </c>
      <c r="F1097" s="13">
        <f>F1098+F1130</f>
        <v>0</v>
      </c>
    </row>
    <row r="1098" spans="1:6" ht="57" customHeight="1">
      <c r="A1098" s="52" t="s">
        <v>274</v>
      </c>
      <c r="B1098" s="39" t="s">
        <v>70</v>
      </c>
      <c r="C1098" s="10" t="s">
        <v>366</v>
      </c>
      <c r="D1098" s="10"/>
      <c r="E1098" s="40">
        <f>E1099+E1126</f>
        <v>0</v>
      </c>
      <c r="F1098" s="40">
        <f>F1099</f>
        <v>0</v>
      </c>
    </row>
    <row r="1099" spans="1:6" ht="22.5" customHeight="1">
      <c r="A1099" s="60" t="s">
        <v>283</v>
      </c>
      <c r="B1099" s="39" t="s">
        <v>70</v>
      </c>
      <c r="C1099" s="39" t="s">
        <v>390</v>
      </c>
      <c r="D1099" s="39"/>
      <c r="E1099" s="40">
        <f>E1100+E1119</f>
        <v>0</v>
      </c>
      <c r="F1099" s="40">
        <f>F1100+F1119</f>
        <v>0</v>
      </c>
    </row>
    <row r="1100" spans="1:6" ht="36" customHeight="1">
      <c r="A1100" s="60" t="s">
        <v>308</v>
      </c>
      <c r="B1100" s="39" t="s">
        <v>70</v>
      </c>
      <c r="C1100" s="10" t="s">
        <v>309</v>
      </c>
      <c r="D1100" s="10"/>
      <c r="E1100" s="40">
        <f>E1101+E1104+E1110+E1116+E1107+E1113</f>
        <v>0</v>
      </c>
      <c r="F1100" s="40">
        <f>F1101+F1104+F1110+F1116</f>
        <v>0</v>
      </c>
    </row>
    <row r="1101" spans="1:6" ht="36" customHeight="1">
      <c r="A1101" s="60" t="s">
        <v>258</v>
      </c>
      <c r="B1101" s="39" t="s">
        <v>70</v>
      </c>
      <c r="C1101" s="10" t="s">
        <v>305</v>
      </c>
      <c r="D1101" s="10"/>
      <c r="E1101" s="40">
        <f>E1102</f>
        <v>0</v>
      </c>
      <c r="F1101" s="40"/>
    </row>
    <row r="1102" spans="1:6" ht="36" customHeight="1">
      <c r="A1102" s="60" t="s">
        <v>339</v>
      </c>
      <c r="B1102" s="39" t="s">
        <v>70</v>
      </c>
      <c r="C1102" s="10" t="s">
        <v>305</v>
      </c>
      <c r="D1102" s="10" t="s">
        <v>338</v>
      </c>
      <c r="E1102" s="40">
        <f>E1103</f>
        <v>0</v>
      </c>
      <c r="F1102" s="40"/>
    </row>
    <row r="1103" spans="1:6" ht="24.75" customHeight="1">
      <c r="A1103" s="60" t="s">
        <v>337</v>
      </c>
      <c r="B1103" s="39" t="s">
        <v>70</v>
      </c>
      <c r="C1103" s="10" t="s">
        <v>305</v>
      </c>
      <c r="D1103" s="10" t="s">
        <v>336</v>
      </c>
      <c r="E1103" s="40"/>
      <c r="F1103" s="40"/>
    </row>
    <row r="1104" spans="1:6" ht="36" customHeight="1">
      <c r="A1104" s="60" t="s">
        <v>259</v>
      </c>
      <c r="B1104" s="39" t="s">
        <v>70</v>
      </c>
      <c r="C1104" s="10" t="s">
        <v>306</v>
      </c>
      <c r="D1104" s="10"/>
      <c r="E1104" s="40">
        <f>E1105</f>
        <v>0</v>
      </c>
      <c r="F1104" s="40"/>
    </row>
    <row r="1105" spans="1:6" ht="40.5" customHeight="1">
      <c r="A1105" s="60" t="s">
        <v>339</v>
      </c>
      <c r="B1105" s="39" t="s">
        <v>70</v>
      </c>
      <c r="C1105" s="10" t="s">
        <v>306</v>
      </c>
      <c r="D1105" s="10" t="s">
        <v>338</v>
      </c>
      <c r="E1105" s="40">
        <f>E1106</f>
        <v>0</v>
      </c>
      <c r="F1105" s="40"/>
    </row>
    <row r="1106" spans="1:6" ht="20.25" customHeight="1">
      <c r="A1106" s="60" t="s">
        <v>342</v>
      </c>
      <c r="B1106" s="39" t="s">
        <v>70</v>
      </c>
      <c r="C1106" s="10" t="s">
        <v>306</v>
      </c>
      <c r="D1106" s="10" t="s">
        <v>341</v>
      </c>
      <c r="E1106" s="40"/>
      <c r="F1106" s="40"/>
    </row>
    <row r="1107" spans="1:6" ht="23.25" customHeight="1">
      <c r="A1107" s="60" t="s">
        <v>168</v>
      </c>
      <c r="B1107" s="39" t="s">
        <v>70</v>
      </c>
      <c r="C1107" s="10" t="s">
        <v>531</v>
      </c>
      <c r="D1107" s="10"/>
      <c r="E1107" s="40">
        <f>E1108</f>
        <v>0</v>
      </c>
      <c r="F1107" s="40"/>
    </row>
    <row r="1108" spans="1:6" ht="33" customHeight="1">
      <c r="A1108" s="60" t="s">
        <v>339</v>
      </c>
      <c r="B1108" s="39" t="s">
        <v>70</v>
      </c>
      <c r="C1108" s="10" t="s">
        <v>531</v>
      </c>
      <c r="D1108" s="10" t="s">
        <v>338</v>
      </c>
      <c r="E1108" s="40">
        <f>E1109</f>
        <v>0</v>
      </c>
      <c r="F1108" s="40"/>
    </row>
    <row r="1109" spans="1:6" ht="20.25" customHeight="1">
      <c r="A1109" s="60" t="s">
        <v>342</v>
      </c>
      <c r="B1109" s="39" t="s">
        <v>70</v>
      </c>
      <c r="C1109" s="10" t="s">
        <v>531</v>
      </c>
      <c r="D1109" s="10" t="s">
        <v>341</v>
      </c>
      <c r="E1109" s="40"/>
      <c r="F1109" s="40"/>
    </row>
    <row r="1110" spans="1:6" ht="31.5" customHeight="1">
      <c r="A1110" s="60" t="s">
        <v>323</v>
      </c>
      <c r="B1110" s="39" t="s">
        <v>70</v>
      </c>
      <c r="C1110" s="10" t="s">
        <v>307</v>
      </c>
      <c r="D1110" s="10"/>
      <c r="E1110" s="40">
        <f>E1111</f>
        <v>0</v>
      </c>
      <c r="F1110" s="40">
        <f>F1111</f>
        <v>0</v>
      </c>
    </row>
    <row r="1111" spans="1:6" ht="31.5" customHeight="1">
      <c r="A1111" s="60" t="s">
        <v>339</v>
      </c>
      <c r="B1111" s="39" t="s">
        <v>70</v>
      </c>
      <c r="C1111" s="10" t="s">
        <v>307</v>
      </c>
      <c r="D1111" s="10" t="s">
        <v>338</v>
      </c>
      <c r="E1111" s="40">
        <f>E1112</f>
        <v>0</v>
      </c>
      <c r="F1111" s="40"/>
    </row>
    <row r="1112" spans="1:6" ht="19.5" customHeight="1">
      <c r="A1112" s="60" t="s">
        <v>337</v>
      </c>
      <c r="B1112" s="39" t="s">
        <v>70</v>
      </c>
      <c r="C1112" s="10" t="s">
        <v>307</v>
      </c>
      <c r="D1112" s="10" t="s">
        <v>336</v>
      </c>
      <c r="E1112" s="40"/>
      <c r="F1112" s="40"/>
    </row>
    <row r="1113" spans="1:6" ht="19.5" customHeight="1">
      <c r="A1113" s="42" t="s">
        <v>394</v>
      </c>
      <c r="B1113" s="39" t="s">
        <v>70</v>
      </c>
      <c r="C1113" s="10" t="s">
        <v>726</v>
      </c>
      <c r="D1113" s="10"/>
      <c r="E1113" s="40">
        <f>E1114</f>
        <v>0</v>
      </c>
      <c r="F1113" s="40">
        <f>F1114</f>
        <v>0</v>
      </c>
    </row>
    <row r="1114" spans="1:6" ht="30" customHeight="1">
      <c r="A1114" s="60" t="s">
        <v>339</v>
      </c>
      <c r="B1114" s="39" t="s">
        <v>70</v>
      </c>
      <c r="C1114" s="10" t="s">
        <v>726</v>
      </c>
      <c r="D1114" s="10" t="s">
        <v>338</v>
      </c>
      <c r="E1114" s="40">
        <f>E1115</f>
        <v>0</v>
      </c>
      <c r="F1114" s="40"/>
    </row>
    <row r="1115" spans="1:6" ht="19.5" customHeight="1">
      <c r="A1115" s="60" t="s">
        <v>337</v>
      </c>
      <c r="B1115" s="39" t="s">
        <v>70</v>
      </c>
      <c r="C1115" s="10" t="s">
        <v>726</v>
      </c>
      <c r="D1115" s="10" t="s">
        <v>336</v>
      </c>
      <c r="E1115" s="40"/>
      <c r="F1115" s="40"/>
    </row>
    <row r="1116" spans="1:6" ht="46.5" customHeight="1">
      <c r="A1116" s="51" t="s">
        <v>636</v>
      </c>
      <c r="B1116" s="39" t="s">
        <v>70</v>
      </c>
      <c r="C1116" s="39" t="s">
        <v>638</v>
      </c>
      <c r="D1116" s="37"/>
      <c r="E1116" s="44">
        <f>E1117</f>
        <v>0</v>
      </c>
      <c r="F1116" s="44">
        <f>F1117</f>
        <v>0</v>
      </c>
    </row>
    <row r="1117" spans="1:6" ht="30.75" customHeight="1">
      <c r="A1117" s="60" t="s">
        <v>339</v>
      </c>
      <c r="B1117" s="39" t="s">
        <v>70</v>
      </c>
      <c r="C1117" s="39" t="s">
        <v>638</v>
      </c>
      <c r="D1117" s="37" t="s">
        <v>338</v>
      </c>
      <c r="E1117" s="44">
        <f>E1118</f>
        <v>0</v>
      </c>
      <c r="F1117" s="44">
        <f>F1118</f>
        <v>0</v>
      </c>
    </row>
    <row r="1118" spans="1:6" ht="19.5" customHeight="1">
      <c r="A1118" s="60" t="s">
        <v>337</v>
      </c>
      <c r="B1118" s="39" t="s">
        <v>70</v>
      </c>
      <c r="C1118" s="39" t="s">
        <v>638</v>
      </c>
      <c r="D1118" s="37" t="s">
        <v>336</v>
      </c>
      <c r="E1118" s="44"/>
      <c r="F1118" s="44">
        <f>E1118</f>
        <v>0</v>
      </c>
    </row>
    <row r="1119" spans="1:6" ht="30.75" customHeight="1">
      <c r="A1119" s="60" t="s">
        <v>303</v>
      </c>
      <c r="B1119" s="39" t="s">
        <v>70</v>
      </c>
      <c r="C1119" s="10" t="s">
        <v>302</v>
      </c>
      <c r="D1119" s="10"/>
      <c r="E1119" s="40">
        <f>E1120+E1123</f>
        <v>0</v>
      </c>
      <c r="F1119" s="40">
        <f>F1120+F1123</f>
        <v>0</v>
      </c>
    </row>
    <row r="1120" spans="1:6" ht="18.75" customHeight="1">
      <c r="A1120" s="60" t="s">
        <v>168</v>
      </c>
      <c r="B1120" s="39" t="s">
        <v>70</v>
      </c>
      <c r="C1120" s="10" t="s">
        <v>304</v>
      </c>
      <c r="D1120" s="10"/>
      <c r="E1120" s="40">
        <f>E1121</f>
        <v>0</v>
      </c>
      <c r="F1120" s="40"/>
    </row>
    <row r="1121" spans="1:6" ht="30.75" customHeight="1">
      <c r="A1121" s="60" t="s">
        <v>339</v>
      </c>
      <c r="B1121" s="39" t="s">
        <v>70</v>
      </c>
      <c r="C1121" s="10" t="s">
        <v>304</v>
      </c>
      <c r="D1121" s="10" t="s">
        <v>338</v>
      </c>
      <c r="E1121" s="40">
        <f>E1122</f>
        <v>0</v>
      </c>
      <c r="F1121" s="40"/>
    </row>
    <row r="1122" spans="1:6" ht="21" customHeight="1">
      <c r="A1122" s="60" t="s">
        <v>337</v>
      </c>
      <c r="B1122" s="39" t="s">
        <v>70</v>
      </c>
      <c r="C1122" s="10" t="s">
        <v>304</v>
      </c>
      <c r="D1122" s="10" t="s">
        <v>336</v>
      </c>
      <c r="E1122" s="40"/>
      <c r="F1122" s="40"/>
    </row>
    <row r="1123" spans="1:6" ht="47.25" customHeight="1">
      <c r="A1123" s="51" t="s">
        <v>636</v>
      </c>
      <c r="B1123" s="39" t="s">
        <v>70</v>
      </c>
      <c r="C1123" s="39" t="s">
        <v>637</v>
      </c>
      <c r="D1123" s="37"/>
      <c r="E1123" s="44">
        <f>E1124</f>
        <v>0</v>
      </c>
      <c r="F1123" s="44">
        <f>F1124</f>
        <v>0</v>
      </c>
    </row>
    <row r="1124" spans="1:6" ht="30.75" customHeight="1">
      <c r="A1124" s="60" t="s">
        <v>339</v>
      </c>
      <c r="B1124" s="39" t="s">
        <v>70</v>
      </c>
      <c r="C1124" s="39" t="s">
        <v>637</v>
      </c>
      <c r="D1124" s="38" t="s">
        <v>338</v>
      </c>
      <c r="E1124" s="44">
        <f>E1125</f>
        <v>0</v>
      </c>
      <c r="F1124" s="44">
        <f>F1125</f>
        <v>0</v>
      </c>
    </row>
    <row r="1125" spans="1:6" ht="21" customHeight="1">
      <c r="A1125" s="60" t="s">
        <v>337</v>
      </c>
      <c r="B1125" s="39" t="s">
        <v>70</v>
      </c>
      <c r="C1125" s="39" t="s">
        <v>637</v>
      </c>
      <c r="D1125" s="38" t="s">
        <v>336</v>
      </c>
      <c r="E1125" s="44"/>
      <c r="F1125" s="44">
        <f>E1125</f>
        <v>0</v>
      </c>
    </row>
    <row r="1126" spans="1:6" ht="32.25" customHeight="1">
      <c r="A1126" s="60" t="s">
        <v>641</v>
      </c>
      <c r="B1126" s="39" t="s">
        <v>70</v>
      </c>
      <c r="C1126" s="10" t="s">
        <v>642</v>
      </c>
      <c r="D1126" s="10"/>
      <c r="E1126" s="44">
        <f>E1127</f>
        <v>0</v>
      </c>
      <c r="F1126" s="44"/>
    </row>
    <row r="1127" spans="1:6" ht="21" customHeight="1">
      <c r="A1127" s="42" t="s">
        <v>394</v>
      </c>
      <c r="B1127" s="39" t="s">
        <v>70</v>
      </c>
      <c r="C1127" s="10" t="s">
        <v>725</v>
      </c>
      <c r="D1127" s="38"/>
      <c r="E1127" s="44">
        <f>E1128</f>
        <v>0</v>
      </c>
      <c r="F1127" s="44"/>
    </row>
    <row r="1128" spans="1:6" ht="30.75" customHeight="1">
      <c r="A1128" s="60" t="s">
        <v>339</v>
      </c>
      <c r="B1128" s="39" t="s">
        <v>70</v>
      </c>
      <c r="C1128" s="10" t="s">
        <v>725</v>
      </c>
      <c r="D1128" s="38" t="s">
        <v>338</v>
      </c>
      <c r="E1128" s="44">
        <f>E1129</f>
        <v>0</v>
      </c>
      <c r="F1128" s="44"/>
    </row>
    <row r="1129" spans="1:6" ht="21" customHeight="1">
      <c r="A1129" s="60" t="s">
        <v>337</v>
      </c>
      <c r="B1129" s="39" t="s">
        <v>70</v>
      </c>
      <c r="C1129" s="10" t="s">
        <v>725</v>
      </c>
      <c r="D1129" s="38" t="s">
        <v>336</v>
      </c>
      <c r="E1129" s="44"/>
      <c r="F1129" s="44"/>
    </row>
    <row r="1130" spans="1:6" ht="21" customHeight="1">
      <c r="A1130" s="80" t="s">
        <v>247</v>
      </c>
      <c r="B1130" s="39" t="s">
        <v>70</v>
      </c>
      <c r="C1130" s="10" t="s">
        <v>367</v>
      </c>
      <c r="D1130" s="10"/>
      <c r="E1130" s="40">
        <f>E1131+E1134</f>
        <v>0</v>
      </c>
      <c r="F1130" s="40">
        <f>F1131+F1134</f>
        <v>0</v>
      </c>
    </row>
    <row r="1131" spans="1:6" ht="123" customHeight="1">
      <c r="A1131" s="42" t="s">
        <v>526</v>
      </c>
      <c r="B1131" s="39" t="s">
        <v>70</v>
      </c>
      <c r="C1131" s="10" t="s">
        <v>528</v>
      </c>
      <c r="D1131" s="10"/>
      <c r="E1131" s="40">
        <f>E1132</f>
        <v>0</v>
      </c>
      <c r="F1131" s="40">
        <f>F1132</f>
        <v>0</v>
      </c>
    </row>
    <row r="1132" spans="1:6" ht="33.75" customHeight="1">
      <c r="A1132" s="60" t="s">
        <v>339</v>
      </c>
      <c r="B1132" s="39" t="s">
        <v>70</v>
      </c>
      <c r="C1132" s="10" t="s">
        <v>528</v>
      </c>
      <c r="D1132" s="10" t="s">
        <v>338</v>
      </c>
      <c r="E1132" s="40">
        <f>E1133</f>
        <v>0</v>
      </c>
      <c r="F1132" s="40">
        <f>F1133</f>
        <v>0</v>
      </c>
    </row>
    <row r="1133" spans="1:6" ht="21.75" customHeight="1">
      <c r="A1133" s="60" t="s">
        <v>337</v>
      </c>
      <c r="B1133" s="39" t="s">
        <v>70</v>
      </c>
      <c r="C1133" s="10" t="s">
        <v>528</v>
      </c>
      <c r="D1133" s="10" t="s">
        <v>336</v>
      </c>
      <c r="E1133" s="40"/>
      <c r="F1133" s="40"/>
    </row>
    <row r="1134" spans="1:6" ht="126" customHeight="1">
      <c r="A1134" s="42" t="s">
        <v>525</v>
      </c>
      <c r="B1134" s="39" t="s">
        <v>70</v>
      </c>
      <c r="C1134" s="10" t="s">
        <v>528</v>
      </c>
      <c r="D1134" s="10"/>
      <c r="E1134" s="40">
        <f>E1135</f>
        <v>0</v>
      </c>
      <c r="F1134" s="40">
        <f>F1135</f>
        <v>0</v>
      </c>
    </row>
    <row r="1135" spans="1:6" ht="30.75" customHeight="1">
      <c r="A1135" s="60" t="s">
        <v>339</v>
      </c>
      <c r="B1135" s="39" t="s">
        <v>70</v>
      </c>
      <c r="C1135" s="10" t="s">
        <v>528</v>
      </c>
      <c r="D1135" s="10" t="s">
        <v>338</v>
      </c>
      <c r="E1135" s="40">
        <f>E1136</f>
        <v>0</v>
      </c>
      <c r="F1135" s="40"/>
    </row>
    <row r="1136" spans="1:6" ht="19.5" customHeight="1">
      <c r="A1136" s="60" t="s">
        <v>337</v>
      </c>
      <c r="B1136" s="39" t="s">
        <v>70</v>
      </c>
      <c r="C1136" s="10" t="s">
        <v>528</v>
      </c>
      <c r="D1136" s="10" t="s">
        <v>336</v>
      </c>
      <c r="E1136" s="40"/>
      <c r="F1136" s="40"/>
    </row>
    <row r="1137" spans="1:6" ht="19.5" customHeight="1">
      <c r="A1137" s="21" t="s">
        <v>639</v>
      </c>
      <c r="B1137" s="19" t="s">
        <v>640</v>
      </c>
      <c r="C1137" s="19"/>
      <c r="D1137" s="19"/>
      <c r="E1137" s="20">
        <f>E1138</f>
        <v>0</v>
      </c>
      <c r="F1137" s="20">
        <f>F1138</f>
        <v>0</v>
      </c>
    </row>
    <row r="1138" spans="1:6" ht="33.75" customHeight="1">
      <c r="A1138" s="60" t="s">
        <v>641</v>
      </c>
      <c r="B1138" s="39" t="s">
        <v>640</v>
      </c>
      <c r="C1138" s="10" t="s">
        <v>642</v>
      </c>
      <c r="D1138" s="10"/>
      <c r="E1138" s="40">
        <f>E1142+E1139</f>
        <v>0</v>
      </c>
      <c r="F1138" s="40">
        <f>F1142+F1139</f>
        <v>0</v>
      </c>
    </row>
    <row r="1139" spans="1:6" ht="48.75" customHeight="1">
      <c r="A1139" s="36" t="s">
        <v>710</v>
      </c>
      <c r="B1139" s="39" t="s">
        <v>640</v>
      </c>
      <c r="C1139" s="10" t="s">
        <v>711</v>
      </c>
      <c r="D1139" s="10"/>
      <c r="E1139" s="40">
        <f>E1140</f>
        <v>0</v>
      </c>
      <c r="F1139" s="40">
        <f>F1140</f>
        <v>0</v>
      </c>
    </row>
    <row r="1140" spans="1:6" ht="33.75" customHeight="1">
      <c r="A1140" s="60" t="s">
        <v>339</v>
      </c>
      <c r="B1140" s="39" t="s">
        <v>640</v>
      </c>
      <c r="C1140" s="10" t="s">
        <v>711</v>
      </c>
      <c r="D1140" s="10" t="s">
        <v>338</v>
      </c>
      <c r="E1140" s="40">
        <f>E1141</f>
        <v>0</v>
      </c>
      <c r="F1140" s="40">
        <f>F1141</f>
        <v>0</v>
      </c>
    </row>
    <row r="1141" spans="1:6" ht="18" customHeight="1">
      <c r="A1141" s="60" t="s">
        <v>337</v>
      </c>
      <c r="B1141" s="39" t="s">
        <v>640</v>
      </c>
      <c r="C1141" s="10" t="s">
        <v>711</v>
      </c>
      <c r="D1141" s="10" t="s">
        <v>336</v>
      </c>
      <c r="E1141" s="40"/>
      <c r="F1141" s="40"/>
    </row>
    <row r="1142" spans="1:6" ht="63.75" customHeight="1">
      <c r="A1142" s="36" t="s">
        <v>643</v>
      </c>
      <c r="B1142" s="39" t="s">
        <v>640</v>
      </c>
      <c r="C1142" s="10" t="s">
        <v>711</v>
      </c>
      <c r="D1142" s="10"/>
      <c r="E1142" s="40">
        <f>E1143</f>
        <v>0</v>
      </c>
      <c r="F1142" s="40"/>
    </row>
    <row r="1143" spans="1:6" ht="33" customHeight="1">
      <c r="A1143" s="60" t="s">
        <v>339</v>
      </c>
      <c r="B1143" s="39" t="s">
        <v>640</v>
      </c>
      <c r="C1143" s="10" t="s">
        <v>711</v>
      </c>
      <c r="D1143" s="10" t="s">
        <v>338</v>
      </c>
      <c r="E1143" s="40">
        <f>E1144</f>
        <v>0</v>
      </c>
      <c r="F1143" s="40"/>
    </row>
    <row r="1144" spans="1:6" ht="19.5" customHeight="1">
      <c r="A1144" s="60" t="s">
        <v>337</v>
      </c>
      <c r="B1144" s="39" t="s">
        <v>640</v>
      </c>
      <c r="C1144" s="10" t="s">
        <v>711</v>
      </c>
      <c r="D1144" s="10" t="s">
        <v>336</v>
      </c>
      <c r="E1144" s="40"/>
      <c r="F1144" s="40"/>
    </row>
    <row r="1145" spans="1:6" s="3" customFormat="1" ht="18" customHeight="1">
      <c r="A1145" s="21" t="s">
        <v>71</v>
      </c>
      <c r="B1145" s="19" t="s">
        <v>72</v>
      </c>
      <c r="C1145" s="19"/>
      <c r="D1145" s="19"/>
      <c r="E1145" s="20">
        <f>E1146</f>
        <v>0</v>
      </c>
      <c r="F1145" s="20">
        <f>F1146</f>
        <v>0</v>
      </c>
    </row>
    <row r="1146" spans="1:6" ht="62.25" customHeight="1">
      <c r="A1146" s="68" t="s">
        <v>275</v>
      </c>
      <c r="B1146" s="37" t="s">
        <v>72</v>
      </c>
      <c r="C1146" s="37" t="s">
        <v>349</v>
      </c>
      <c r="D1146" s="37"/>
      <c r="E1146" s="40">
        <f>E1147+E1154+E1163</f>
        <v>0</v>
      </c>
      <c r="F1146" s="40">
        <f>F1147+F1154+F1163</f>
        <v>0</v>
      </c>
    </row>
    <row r="1147" spans="1:6" ht="18.75" customHeight="1">
      <c r="A1147" s="59" t="s">
        <v>102</v>
      </c>
      <c r="B1147" s="65" t="s">
        <v>73</v>
      </c>
      <c r="C1147" s="65"/>
      <c r="D1147" s="65"/>
      <c r="E1147" s="13">
        <f>E1151+E1148</f>
        <v>0</v>
      </c>
      <c r="F1147" s="13">
        <f>F1151+F1148</f>
        <v>0</v>
      </c>
    </row>
    <row r="1148" spans="1:6" ht="45.75" customHeight="1">
      <c r="A1148" s="51" t="s">
        <v>636</v>
      </c>
      <c r="B1148" s="38" t="s">
        <v>73</v>
      </c>
      <c r="C1148" s="39" t="s">
        <v>679</v>
      </c>
      <c r="D1148" s="37"/>
      <c r="E1148" s="44">
        <f>E1149</f>
        <v>0</v>
      </c>
      <c r="F1148" s="44">
        <f>F1149</f>
        <v>0</v>
      </c>
    </row>
    <row r="1149" spans="1:6" ht="31.5" customHeight="1">
      <c r="A1149" s="36" t="s">
        <v>339</v>
      </c>
      <c r="B1149" s="38" t="s">
        <v>73</v>
      </c>
      <c r="C1149" s="39" t="s">
        <v>679</v>
      </c>
      <c r="D1149" s="37" t="s">
        <v>338</v>
      </c>
      <c r="E1149" s="44">
        <f>E1150</f>
        <v>0</v>
      </c>
      <c r="F1149" s="44">
        <f>F1150</f>
        <v>0</v>
      </c>
    </row>
    <row r="1150" spans="1:6" ht="19.5" customHeight="1">
      <c r="A1150" s="43" t="s">
        <v>342</v>
      </c>
      <c r="B1150" s="38" t="s">
        <v>73</v>
      </c>
      <c r="C1150" s="39" t="s">
        <v>679</v>
      </c>
      <c r="D1150" s="37" t="s">
        <v>341</v>
      </c>
      <c r="E1150" s="44"/>
      <c r="F1150" s="44">
        <f>E1150</f>
        <v>0</v>
      </c>
    </row>
    <row r="1151" spans="1:6" ht="30" customHeight="1">
      <c r="A1151" s="41" t="s">
        <v>164</v>
      </c>
      <c r="B1151" s="38" t="s">
        <v>73</v>
      </c>
      <c r="C1151" s="38" t="s">
        <v>350</v>
      </c>
      <c r="D1151" s="38"/>
      <c r="E1151" s="40">
        <f>E1152</f>
        <v>0</v>
      </c>
      <c r="F1151" s="40"/>
    </row>
    <row r="1152" spans="1:6" ht="21" customHeight="1">
      <c r="A1152" s="46" t="s">
        <v>174</v>
      </c>
      <c r="B1152" s="37" t="s">
        <v>73</v>
      </c>
      <c r="C1152" s="38" t="s">
        <v>350</v>
      </c>
      <c r="D1152" s="37" t="s">
        <v>173</v>
      </c>
      <c r="E1152" s="40">
        <f>E1153</f>
        <v>0</v>
      </c>
      <c r="F1152" s="40"/>
    </row>
    <row r="1153" spans="1:6" ht="30.75" customHeight="1">
      <c r="A1153" s="46" t="s">
        <v>176</v>
      </c>
      <c r="B1153" s="38" t="s">
        <v>73</v>
      </c>
      <c r="C1153" s="38" t="s">
        <v>350</v>
      </c>
      <c r="D1153" s="38" t="s">
        <v>175</v>
      </c>
      <c r="E1153" s="40"/>
      <c r="F1153" s="40"/>
    </row>
    <row r="1154" spans="1:6" ht="18" customHeight="1">
      <c r="A1154" s="59" t="s">
        <v>103</v>
      </c>
      <c r="B1154" s="65" t="s">
        <v>74</v>
      </c>
      <c r="C1154" s="65"/>
      <c r="D1154" s="65"/>
      <c r="E1154" s="13">
        <f>E1158+E1155</f>
        <v>0</v>
      </c>
      <c r="F1154" s="13">
        <f>F1158+F1155</f>
        <v>0</v>
      </c>
    </row>
    <row r="1155" spans="1:6" ht="45.75" customHeight="1">
      <c r="A1155" s="51" t="s">
        <v>636</v>
      </c>
      <c r="B1155" s="37" t="s">
        <v>74</v>
      </c>
      <c r="C1155" s="39" t="s">
        <v>679</v>
      </c>
      <c r="D1155" s="37"/>
      <c r="E1155" s="44">
        <f>E1156</f>
        <v>0</v>
      </c>
      <c r="F1155" s="44">
        <f>F1156</f>
        <v>0</v>
      </c>
    </row>
    <row r="1156" spans="1:6" ht="31.5" customHeight="1">
      <c r="A1156" s="36" t="s">
        <v>339</v>
      </c>
      <c r="B1156" s="37" t="s">
        <v>74</v>
      </c>
      <c r="C1156" s="39" t="s">
        <v>679</v>
      </c>
      <c r="D1156" s="37" t="s">
        <v>338</v>
      </c>
      <c r="E1156" s="44">
        <f>E1157</f>
        <v>0</v>
      </c>
      <c r="F1156" s="44">
        <f>F1157</f>
        <v>0</v>
      </c>
    </row>
    <row r="1157" spans="1:6" ht="18" customHeight="1">
      <c r="A1157" s="43" t="s">
        <v>342</v>
      </c>
      <c r="B1157" s="37" t="s">
        <v>74</v>
      </c>
      <c r="C1157" s="39" t="s">
        <v>679</v>
      </c>
      <c r="D1157" s="37" t="s">
        <v>341</v>
      </c>
      <c r="E1157" s="44"/>
      <c r="F1157" s="44">
        <f>E1157</f>
        <v>0</v>
      </c>
    </row>
    <row r="1158" spans="1:6" ht="20.25" customHeight="1">
      <c r="A1158" s="51" t="s">
        <v>165</v>
      </c>
      <c r="B1158" s="37" t="s">
        <v>74</v>
      </c>
      <c r="C1158" s="38" t="s">
        <v>350</v>
      </c>
      <c r="D1158" s="37"/>
      <c r="E1158" s="40">
        <f>E1159+E1161</f>
        <v>0</v>
      </c>
      <c r="F1158" s="40"/>
    </row>
    <row r="1159" spans="1:6" ht="33.75" customHeight="1">
      <c r="A1159" s="36" t="s">
        <v>339</v>
      </c>
      <c r="B1159" s="38" t="s">
        <v>74</v>
      </c>
      <c r="C1159" s="38" t="s">
        <v>350</v>
      </c>
      <c r="D1159" s="38" t="s">
        <v>338</v>
      </c>
      <c r="E1159" s="40">
        <f>E1160</f>
        <v>0</v>
      </c>
      <c r="F1159" s="40"/>
    </row>
    <row r="1160" spans="1:6" ht="24" customHeight="1">
      <c r="A1160" s="43" t="s">
        <v>342</v>
      </c>
      <c r="B1160" s="38" t="s">
        <v>74</v>
      </c>
      <c r="C1160" s="38" t="s">
        <v>350</v>
      </c>
      <c r="D1160" s="38" t="s">
        <v>341</v>
      </c>
      <c r="E1160" s="40"/>
      <c r="F1160" s="40"/>
    </row>
    <row r="1161" spans="1:6" ht="18.75" customHeight="1">
      <c r="A1161" s="46" t="s">
        <v>174</v>
      </c>
      <c r="B1161" s="38" t="s">
        <v>74</v>
      </c>
      <c r="C1161" s="38" t="s">
        <v>350</v>
      </c>
      <c r="D1161" s="38" t="s">
        <v>173</v>
      </c>
      <c r="E1161" s="40">
        <f>E1162</f>
        <v>0</v>
      </c>
      <c r="F1161" s="40"/>
    </row>
    <row r="1162" spans="1:6" ht="33" customHeight="1">
      <c r="A1162" s="46" t="s">
        <v>176</v>
      </c>
      <c r="B1162" s="38" t="s">
        <v>74</v>
      </c>
      <c r="C1162" s="38" t="s">
        <v>350</v>
      </c>
      <c r="D1162" s="38" t="s">
        <v>175</v>
      </c>
      <c r="E1162" s="40"/>
      <c r="F1162" s="40"/>
    </row>
    <row r="1163" spans="1:6" ht="29.25" customHeight="1">
      <c r="A1163" s="59" t="s">
        <v>250</v>
      </c>
      <c r="B1163" s="65" t="s">
        <v>251</v>
      </c>
      <c r="C1163" s="65"/>
      <c r="D1163" s="65"/>
      <c r="E1163" s="13">
        <f>E1167+E1164</f>
        <v>0</v>
      </c>
      <c r="F1163" s="40"/>
    </row>
    <row r="1164" spans="1:6" ht="19.5" customHeight="1">
      <c r="A1164" s="58" t="s">
        <v>424</v>
      </c>
      <c r="B1164" s="37" t="s">
        <v>251</v>
      </c>
      <c r="C1164" s="37" t="s">
        <v>328</v>
      </c>
      <c r="D1164" s="65"/>
      <c r="E1164" s="40">
        <f>E1165</f>
        <v>0</v>
      </c>
      <c r="F1164" s="40"/>
    </row>
    <row r="1165" spans="1:6" ht="23.25" customHeight="1">
      <c r="A1165" s="58" t="s">
        <v>174</v>
      </c>
      <c r="B1165" s="37" t="s">
        <v>251</v>
      </c>
      <c r="C1165" s="37" t="s">
        <v>328</v>
      </c>
      <c r="D1165" s="37" t="s">
        <v>173</v>
      </c>
      <c r="E1165" s="40">
        <f>E1166</f>
        <v>0</v>
      </c>
      <c r="F1165" s="40"/>
    </row>
    <row r="1166" spans="1:6" ht="33" customHeight="1">
      <c r="A1166" s="58" t="s">
        <v>176</v>
      </c>
      <c r="B1166" s="37" t="s">
        <v>251</v>
      </c>
      <c r="C1166" s="37" t="s">
        <v>328</v>
      </c>
      <c r="D1166" s="37" t="s">
        <v>175</v>
      </c>
      <c r="E1166" s="40"/>
      <c r="F1166" s="40"/>
    </row>
    <row r="1167" spans="1:6" ht="24" customHeight="1">
      <c r="A1167" s="58" t="s">
        <v>250</v>
      </c>
      <c r="B1167" s="37" t="s">
        <v>251</v>
      </c>
      <c r="C1167" s="37" t="s">
        <v>425</v>
      </c>
      <c r="D1167" s="65"/>
      <c r="E1167" s="40">
        <f>E1168</f>
        <v>0</v>
      </c>
      <c r="F1167" s="40"/>
    </row>
    <row r="1168" spans="1:6" ht="21" customHeight="1">
      <c r="A1168" s="58" t="s">
        <v>174</v>
      </c>
      <c r="B1168" s="37" t="s">
        <v>251</v>
      </c>
      <c r="C1168" s="37" t="s">
        <v>425</v>
      </c>
      <c r="D1168" s="37" t="s">
        <v>173</v>
      </c>
      <c r="E1168" s="40">
        <f>E1169</f>
        <v>0</v>
      </c>
      <c r="F1168" s="40"/>
    </row>
    <row r="1169" spans="1:6" ht="31.5" customHeight="1">
      <c r="A1169" s="58" t="s">
        <v>176</v>
      </c>
      <c r="B1169" s="37" t="s">
        <v>251</v>
      </c>
      <c r="C1169" s="37" t="s">
        <v>425</v>
      </c>
      <c r="D1169" s="37" t="s">
        <v>175</v>
      </c>
      <c r="E1169" s="40"/>
      <c r="F1169" s="40"/>
    </row>
    <row r="1170" spans="1:6" ht="33" customHeight="1">
      <c r="A1170" s="22" t="s">
        <v>110</v>
      </c>
      <c r="B1170" s="28" t="s">
        <v>75</v>
      </c>
      <c r="C1170" s="28"/>
      <c r="D1170" s="28"/>
      <c r="E1170" s="30">
        <f>E1171</f>
        <v>0</v>
      </c>
      <c r="F1170" s="20"/>
    </row>
    <row r="1171" spans="1:6" ht="33" customHeight="1">
      <c r="A1171" s="51" t="s">
        <v>40</v>
      </c>
      <c r="B1171" s="92" t="s">
        <v>76</v>
      </c>
      <c r="C1171" s="28"/>
      <c r="D1171" s="28"/>
      <c r="E1171" s="97">
        <f>E1172</f>
        <v>0</v>
      </c>
      <c r="F1171" s="98"/>
    </row>
    <row r="1172" spans="1:6" ht="21.75" customHeight="1">
      <c r="A1172" s="60" t="s">
        <v>245</v>
      </c>
      <c r="B1172" s="39" t="s">
        <v>76</v>
      </c>
      <c r="C1172" s="37" t="s">
        <v>20</v>
      </c>
      <c r="D1172" s="39"/>
      <c r="E1172" s="40">
        <f>E1173</f>
        <v>0</v>
      </c>
      <c r="F1172" s="40"/>
    </row>
    <row r="1173" spans="1:6" ht="24.75" customHeight="1">
      <c r="A1173" s="41" t="s">
        <v>9</v>
      </c>
      <c r="B1173" s="39" t="s">
        <v>76</v>
      </c>
      <c r="C1173" s="38" t="s">
        <v>191</v>
      </c>
      <c r="D1173" s="39"/>
      <c r="E1173" s="40">
        <f>E1175</f>
        <v>0</v>
      </c>
      <c r="F1173" s="40"/>
    </row>
    <row r="1174" spans="1:6" ht="19.5" customHeight="1">
      <c r="A1174" s="51" t="s">
        <v>108</v>
      </c>
      <c r="B1174" s="39" t="s">
        <v>76</v>
      </c>
      <c r="C1174" s="37" t="s">
        <v>192</v>
      </c>
      <c r="D1174" s="39"/>
      <c r="E1174" s="40">
        <f>E1175</f>
        <v>0</v>
      </c>
      <c r="F1174" s="40"/>
    </row>
    <row r="1175" spans="1:6" ht="27" customHeight="1">
      <c r="A1175" s="41" t="s">
        <v>81</v>
      </c>
      <c r="B1175" s="39" t="s">
        <v>76</v>
      </c>
      <c r="C1175" s="37" t="s">
        <v>192</v>
      </c>
      <c r="D1175" s="39" t="s">
        <v>402</v>
      </c>
      <c r="E1175" s="40">
        <f>E1176</f>
        <v>0</v>
      </c>
      <c r="F1175" s="40"/>
    </row>
    <row r="1176" spans="1:6" ht="18.75" customHeight="1">
      <c r="A1176" s="51" t="s">
        <v>81</v>
      </c>
      <c r="B1176" s="39" t="s">
        <v>76</v>
      </c>
      <c r="C1176" s="37" t="s">
        <v>192</v>
      </c>
      <c r="D1176" s="39" t="s">
        <v>46</v>
      </c>
      <c r="E1176" s="40">
        <v>0</v>
      </c>
      <c r="F1176" s="40"/>
    </row>
    <row r="1177" spans="1:6" ht="48" customHeight="1">
      <c r="A1177" s="21" t="s">
        <v>409</v>
      </c>
      <c r="B1177" s="19" t="s">
        <v>151</v>
      </c>
      <c r="C1177" s="19"/>
      <c r="D1177" s="19"/>
      <c r="E1177" s="20">
        <f>E1178</f>
        <v>0</v>
      </c>
      <c r="F1177" s="20">
        <f>F1178</f>
        <v>0</v>
      </c>
    </row>
    <row r="1178" spans="1:6" ht="32.25" customHeight="1">
      <c r="A1178" s="59" t="s">
        <v>67</v>
      </c>
      <c r="B1178" s="63" t="s">
        <v>152</v>
      </c>
      <c r="C1178" s="63"/>
      <c r="D1178" s="63"/>
      <c r="E1178" s="13">
        <f>E1179+E1182+E1185+E1188</f>
        <v>0</v>
      </c>
      <c r="F1178" s="13">
        <f>F1179+F1182+F1185</f>
        <v>0</v>
      </c>
    </row>
    <row r="1179" spans="1:6" ht="28.5" customHeight="1">
      <c r="A1179" s="42" t="s">
        <v>401</v>
      </c>
      <c r="B1179" s="10" t="s">
        <v>152</v>
      </c>
      <c r="C1179" s="39" t="s">
        <v>355</v>
      </c>
      <c r="D1179" s="37"/>
      <c r="E1179" s="40">
        <f>E1180</f>
        <v>0</v>
      </c>
      <c r="F1179" s="95"/>
    </row>
    <row r="1180" spans="1:6" ht="23.25" customHeight="1">
      <c r="A1180" s="93" t="s">
        <v>404</v>
      </c>
      <c r="B1180" s="10" t="s">
        <v>152</v>
      </c>
      <c r="C1180" s="39" t="s">
        <v>355</v>
      </c>
      <c r="D1180" s="37" t="s">
        <v>403</v>
      </c>
      <c r="E1180" s="40">
        <f>E1181</f>
        <v>0</v>
      </c>
      <c r="F1180" s="95"/>
    </row>
    <row r="1181" spans="1:6" ht="22.5" customHeight="1">
      <c r="A1181" s="93" t="s">
        <v>44</v>
      </c>
      <c r="B1181" s="10" t="s">
        <v>152</v>
      </c>
      <c r="C1181" s="39" t="s">
        <v>355</v>
      </c>
      <c r="D1181" s="37" t="s">
        <v>162</v>
      </c>
      <c r="E1181" s="40"/>
      <c r="F1181" s="95"/>
    </row>
    <row r="1182" spans="1:6" ht="25.5" customHeight="1">
      <c r="A1182" s="43" t="s">
        <v>398</v>
      </c>
      <c r="B1182" s="10" t="s">
        <v>152</v>
      </c>
      <c r="C1182" s="10" t="s">
        <v>356</v>
      </c>
      <c r="D1182" s="69"/>
      <c r="E1182" s="40">
        <f>E1183</f>
        <v>0</v>
      </c>
      <c r="F1182" s="95"/>
    </row>
    <row r="1183" spans="1:6" ht="25.5" customHeight="1">
      <c r="A1183" s="93" t="s">
        <v>404</v>
      </c>
      <c r="B1183" s="10" t="s">
        <v>152</v>
      </c>
      <c r="C1183" s="10" t="s">
        <v>356</v>
      </c>
      <c r="D1183" s="37" t="s">
        <v>403</v>
      </c>
      <c r="E1183" s="40">
        <f>E1184</f>
        <v>0</v>
      </c>
      <c r="F1183" s="95"/>
    </row>
    <row r="1184" spans="1:6" ht="25.5" customHeight="1">
      <c r="A1184" s="93" t="s">
        <v>44</v>
      </c>
      <c r="B1184" s="10" t="s">
        <v>152</v>
      </c>
      <c r="C1184" s="10" t="s">
        <v>356</v>
      </c>
      <c r="D1184" s="37" t="s">
        <v>162</v>
      </c>
      <c r="E1184" s="40"/>
      <c r="F1184" s="95"/>
    </row>
    <row r="1185" spans="1:6" ht="22.5" customHeight="1">
      <c r="A1185" s="42" t="s">
        <v>394</v>
      </c>
      <c r="B1185" s="10" t="s">
        <v>152</v>
      </c>
      <c r="C1185" s="39" t="s">
        <v>357</v>
      </c>
      <c r="D1185" s="37"/>
      <c r="E1185" s="40">
        <f>E1186</f>
        <v>0</v>
      </c>
      <c r="F1185" s="40"/>
    </row>
    <row r="1186" spans="1:6" ht="21" customHeight="1">
      <c r="A1186" s="93" t="s">
        <v>404</v>
      </c>
      <c r="B1186" s="10" t="s">
        <v>152</v>
      </c>
      <c r="C1186" s="39" t="s">
        <v>357</v>
      </c>
      <c r="D1186" s="37" t="s">
        <v>403</v>
      </c>
      <c r="E1186" s="40">
        <f>E1187</f>
        <v>0</v>
      </c>
      <c r="F1186" s="95"/>
    </row>
    <row r="1187" spans="1:6" ht="22.5" customHeight="1">
      <c r="A1187" s="93" t="s">
        <v>44</v>
      </c>
      <c r="B1187" s="10" t="s">
        <v>152</v>
      </c>
      <c r="C1187" s="39" t="s">
        <v>357</v>
      </c>
      <c r="D1187" s="37" t="s">
        <v>162</v>
      </c>
      <c r="E1187" s="40"/>
      <c r="F1187" s="95"/>
    </row>
    <row r="1188" spans="1:6" ht="78.75" customHeight="1">
      <c r="A1188" s="36" t="s">
        <v>748</v>
      </c>
      <c r="B1188" s="10" t="s">
        <v>152</v>
      </c>
      <c r="C1188" s="10" t="s">
        <v>731</v>
      </c>
      <c r="D1188" s="94"/>
      <c r="E1188" s="95">
        <f>E1189</f>
        <v>0</v>
      </c>
      <c r="F1188" s="95">
        <f>F1189</f>
        <v>0</v>
      </c>
    </row>
    <row r="1189" spans="1:6" ht="22.5" customHeight="1">
      <c r="A1189" s="93" t="s">
        <v>404</v>
      </c>
      <c r="B1189" s="10" t="s">
        <v>152</v>
      </c>
      <c r="C1189" s="10" t="s">
        <v>731</v>
      </c>
      <c r="D1189" s="94" t="s">
        <v>403</v>
      </c>
      <c r="E1189" s="95">
        <f>E1190</f>
        <v>0</v>
      </c>
      <c r="F1189" s="95">
        <f>F1190</f>
        <v>0</v>
      </c>
    </row>
    <row r="1190" spans="1:6" ht="22.5" customHeight="1">
      <c r="A1190" s="93" t="s">
        <v>44</v>
      </c>
      <c r="B1190" s="10" t="s">
        <v>152</v>
      </c>
      <c r="C1190" s="10" t="s">
        <v>731</v>
      </c>
      <c r="D1190" s="94" t="s">
        <v>162</v>
      </c>
      <c r="E1190" s="95"/>
      <c r="F1190" s="95">
        <v>0</v>
      </c>
    </row>
    <row r="1191" spans="1:9" ht="21" customHeight="1">
      <c r="A1191" s="90" t="s">
        <v>107</v>
      </c>
      <c r="B1191" s="91"/>
      <c r="C1191" s="91"/>
      <c r="D1191" s="91"/>
      <c r="E1191" s="14">
        <f>E11+E368+E375+E406+E585+E715+E750+E1000+E1037+E1046+E1177+E1096+E1145+E1170</f>
        <v>18163.5</v>
      </c>
      <c r="F1191" s="14">
        <f>F11+F368+F375+F406+F585+F715+F750+F1000+F1037+F1046+F1177+F1096+F1145+F1170</f>
        <v>77565.5</v>
      </c>
      <c r="H1191" s="6"/>
      <c r="I1191" s="6"/>
    </row>
    <row r="1192" spans="1:6" ht="12.75">
      <c r="A1192" s="120"/>
      <c r="B1192" s="120"/>
      <c r="C1192" s="120"/>
      <c r="D1192" s="120"/>
      <c r="E1192" s="120"/>
      <c r="F1192" s="120"/>
    </row>
    <row r="1193" spans="1:6" ht="12.75">
      <c r="A1193" s="120"/>
      <c r="B1193" s="120"/>
      <c r="C1193" s="120"/>
      <c r="D1193" s="120"/>
      <c r="E1193" s="120"/>
      <c r="F1193" s="120"/>
    </row>
    <row r="1195" spans="6:8" ht="12.75">
      <c r="F1195" s="6"/>
      <c r="H1195" s="6"/>
    </row>
    <row r="1196" ht="12.75">
      <c r="E1196" s="9"/>
    </row>
    <row r="1197" spans="5:6" ht="12.75">
      <c r="E1197" s="9"/>
      <c r="F1197" s="6"/>
    </row>
    <row r="1198" ht="12.75">
      <c r="E1198" s="9"/>
    </row>
    <row r="1199" ht="12.75">
      <c r="E1199" s="9"/>
    </row>
    <row r="1200" spans="5:9" ht="12.75">
      <c r="E1200" s="9"/>
      <c r="I1200" s="6"/>
    </row>
    <row r="1201" ht="12.75">
      <c r="E1201" s="9"/>
    </row>
  </sheetData>
  <sheetProtection/>
  <autoFilter ref="A10:I1191"/>
  <mergeCells count="7">
    <mergeCell ref="A4:F4"/>
    <mergeCell ref="A5:F5"/>
    <mergeCell ref="A6:F6"/>
    <mergeCell ref="A9:A10"/>
    <mergeCell ref="B9:D9"/>
    <mergeCell ref="E9:E10"/>
    <mergeCell ref="F9:F10"/>
  </mergeCells>
  <printOptions horizontalCentered="1"/>
  <pageMargins left="0.8661417322834646" right="0.2362204724409449" top="0.5118110236220472" bottom="0.2362204724409449" header="0.2755905511811024" footer="0.2362204724409449"/>
  <pageSetup horizontalDpi="600" verticalDpi="600" orientation="portrait" paperSize="9" scale="6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 С. Родионова</cp:lastModifiedBy>
  <cp:lastPrinted>2019-11-28T08:54:05Z</cp:lastPrinted>
  <dcterms:created xsi:type="dcterms:W3CDTF">2003-07-23T10:25:27Z</dcterms:created>
  <dcterms:modified xsi:type="dcterms:W3CDTF">2019-11-28T08:54:08Z</dcterms:modified>
  <cp:category/>
  <cp:version/>
  <cp:contentType/>
  <cp:contentStatus/>
</cp:coreProperties>
</file>