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9 г." sheetId="1" r:id="rId1"/>
  </sheets>
  <definedNames>
    <definedName name="_xlnm._FilterDatabase" localSheetId="0" hidden="1">'  2019 г.'!$A$14:$L$1091</definedName>
    <definedName name="Z_072D351B_4DCF_4C5F_BB0C_B1F84EBBD46B_.wvu.Cols" localSheetId="0" hidden="1">'  2019 г.'!$I:$J</definedName>
    <definedName name="Z_072D351B_4DCF_4C5F_BB0C_B1F84EBBD46B_.wvu.PrintArea" localSheetId="0" hidden="1">'  2019 г.'!$A$1:$I$914</definedName>
    <definedName name="Z_072D351B_4DCF_4C5F_BB0C_B1F84EBBD46B_.wvu.PrintTitles" localSheetId="0" hidden="1">'  2019 г.'!$14:$14</definedName>
    <definedName name="Z_4AF32C0D_3EF2_4B3B_9612_87CA8DBB6ACF_.wvu.Cols" localSheetId="0" hidden="1">'  2019 г.'!$I:$J</definedName>
    <definedName name="Z_4AF32C0D_3EF2_4B3B_9612_87CA8DBB6ACF_.wvu.PrintArea" localSheetId="0" hidden="1">'  2019 г.'!$A$1:$I$914</definedName>
    <definedName name="Z_4AF32C0D_3EF2_4B3B_9612_87CA8DBB6ACF_.wvu.PrintTitles" localSheetId="0" hidden="1">'  2019 г.'!$14:$14</definedName>
    <definedName name="Z_5F1072CB_A768_452E_BCF8_20340BB8BAB0_.wvu.Cols" localSheetId="0" hidden="1">'  2019 г.'!$I:$J</definedName>
    <definedName name="Z_5F1072CB_A768_452E_BCF8_20340BB8BAB0_.wvu.PrintArea" localSheetId="0" hidden="1">'  2019 г.'!$A$1:$I$914</definedName>
    <definedName name="Z_5F1072CB_A768_452E_BCF8_20340BB8BAB0_.wvu.PrintTitles" localSheetId="0" hidden="1">'  2019 г.'!$14:$14</definedName>
    <definedName name="_xlnm.Print_Titles" localSheetId="0">'  2019 г.'!$14:$14</definedName>
    <definedName name="_xlnm.Print_Area" localSheetId="0">'  2019 г.'!$A$1:$M$1091</definedName>
  </definedNames>
  <calcPr fullCalcOnLoad="1"/>
</workbook>
</file>

<file path=xl/sharedStrings.xml><?xml version="1.0" encoding="utf-8"?>
<sst xmlns="http://schemas.openxmlformats.org/spreadsheetml/2006/main" count="4904" uniqueCount="690">
  <si>
    <t>Муниципальная программа Сергиево-Посадского муниципального района "Развитие сельского хозяйства и регулирование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</si>
  <si>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</si>
  <si>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</si>
  <si>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</si>
  <si>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</si>
  <si>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</si>
  <si>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</si>
  <si>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</si>
  <si>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</si>
  <si>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</si>
  <si>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Мероприятие "Мероприятия муниципальных учреждений в сфере физической культуры и спорта"</t>
  </si>
  <si>
    <t>05 1 02 77710</t>
  </si>
  <si>
    <t>Мероприятие "Субсидии муниципальным учреждениям физической культуры и спорта"</t>
  </si>
  <si>
    <t>05 1 10 00000</t>
  </si>
  <si>
    <t>05 1 11 77770</t>
  </si>
  <si>
    <t>05 1 12 77770</t>
  </si>
  <si>
    <t>05 1 13 77770</t>
  </si>
  <si>
    <t>Расходы на обеспечение деятельности Контрольно-счетной комиссии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</si>
  <si>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</si>
  <si>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</si>
  <si>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</si>
  <si>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</si>
  <si>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09 3 00 00000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</si>
  <si>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</si>
  <si>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</si>
  <si>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4 "Социальная ипотека"</t>
  </si>
  <si>
    <t>09 4 00 S0220</t>
  </si>
  <si>
    <t>Обеспечение земельными участками многодетных семей</t>
  </si>
  <si>
    <t>19 0 00 00630</t>
  </si>
  <si>
    <t>Другие вопросы в области средств массовой информации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</si>
  <si>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</si>
  <si>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</si>
  <si>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</si>
  <si>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Капитальные вложения в объекты государственной (муниципальной) собственности</t>
  </si>
  <si>
    <t>Подпрограмма III "Развитие дополнительного образования  сферы культуры"</t>
  </si>
  <si>
    <t>14 1 00 00000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</si>
  <si>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</si>
  <si>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14 1 00 88880</t>
  </si>
  <si>
    <t>14 1 00 88890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</si>
  <si>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</si>
  <si>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</si>
  <si>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</si>
  <si>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</si>
  <si>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</si>
  <si>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</si>
  <si>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Подпрограмма II "Общее образование"</t>
  </si>
  <si>
    <t>Подпрограмма I " Дошкольное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</si>
  <si>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</si>
  <si>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</si>
  <si>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</si>
  <si>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Расходы на обеспечение деятельности МКУ "Фонд земельных ресурсов"</t>
  </si>
  <si>
    <t>10 1 00 00000</t>
  </si>
  <si>
    <t>Софинансирование расходов на проведение капитального ремонта подъездов многоквартирных домов</t>
  </si>
  <si>
    <t>Капитальные вложения в объекты  государственной (муниципальной) собственности</t>
  </si>
  <si>
    <t>Субвенция на осуществление государственных полномочий  Московской области 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</si>
  <si>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</si>
  <si>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</si>
  <si>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</si>
  <si>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</si>
  <si>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</si>
  <si>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</si>
  <si>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</si>
  <si>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</si>
  <si>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</si>
  <si>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</si>
  <si>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</si>
  <si>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</si>
  <si>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</si>
  <si>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</si>
  <si>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</si>
  <si>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19 0 00 99590</t>
  </si>
  <si>
    <t>12 5 00 90690</t>
  </si>
  <si>
    <t>Содержание  мест захоронений</t>
  </si>
  <si>
    <t>00 0 00 00000</t>
  </si>
  <si>
    <t>08 0 00 00000</t>
  </si>
  <si>
    <t>10 0 00 00000</t>
  </si>
  <si>
    <t>11 0 00 00000</t>
  </si>
  <si>
    <t>12 2 00 00000</t>
  </si>
  <si>
    <t>13 0 00 00000</t>
  </si>
  <si>
    <t>16 0 00 00000</t>
  </si>
  <si>
    <t>17 0 00 00000</t>
  </si>
  <si>
    <t>19 0 00 00000</t>
  </si>
  <si>
    <t>20 0 00 00000</t>
  </si>
  <si>
    <t>22 0 00 00000</t>
  </si>
  <si>
    <t>23 0 00 00000</t>
  </si>
  <si>
    <t>Обеспечение деятельности МБУ "Дорожник Сергиево-Посадского муниципального района Московской области"</t>
  </si>
  <si>
    <t>Исполнение судебных актов судебных органов</t>
  </si>
  <si>
    <t>310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</si>
  <si>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</si>
  <si>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</si>
  <si>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</si>
  <si>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11 0 00 88870</t>
  </si>
  <si>
    <t>26 0 00 00000</t>
  </si>
  <si>
    <t>Проведение мероприятий, направленных на популяризацию роли предпринимательского сообщества</t>
  </si>
  <si>
    <t>12 2 00 04990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</si>
  <si>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</si>
  <si>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</si>
  <si>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</si>
  <si>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</si>
  <si>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</si>
  <si>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2 00 S2270</t>
  </si>
  <si>
    <t>16 0 00 88880</t>
  </si>
  <si>
    <t>02 1 00 77770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</si>
  <si>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</si>
  <si>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</si>
  <si>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</si>
  <si>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</si>
  <si>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</si>
  <si>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</si>
  <si>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</si>
  <si>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02 5 00 00000</t>
  </si>
  <si>
    <t>02 5 00 77590</t>
  </si>
  <si>
    <t>03 1 00 88820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</si>
  <si>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</si>
  <si>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</si>
  <si>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</si>
  <si>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</si>
  <si>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</si>
  <si>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</si>
  <si>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</si>
  <si>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</si>
  <si>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</si>
  <si>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</si>
  <si>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</si>
  <si>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</si>
  <si>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</si>
  <si>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</si>
  <si>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</si>
  <si>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</si>
  <si>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</si>
  <si>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</si>
  <si>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</si>
  <si>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</si>
  <si>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</si>
  <si>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</si>
  <si>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</si>
  <si>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</si>
  <si>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</si>
  <si>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</si>
  <si>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</si>
  <si>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</si>
  <si>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</si>
  <si>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</si>
  <si>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к решению Совета депутатов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</si>
  <si>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</si>
  <si>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</si>
  <si>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</si>
  <si>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</si>
  <si>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</si>
  <si>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</si>
  <si>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</si>
  <si>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</si>
  <si>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</si>
  <si>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</si>
  <si>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</si>
  <si>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</si>
  <si>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</si>
  <si>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</si>
  <si>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</si>
  <si>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</si>
  <si>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</si>
  <si>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</si>
  <si>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</si>
  <si>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</si>
  <si>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</si>
  <si>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</si>
  <si>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</si>
  <si>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</si>
  <si>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</si>
  <si>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</si>
  <si>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</si>
  <si>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</si>
  <si>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</si>
  <si>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 "Развитие библиотечного дела"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</si>
  <si>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</si>
  <si>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</si>
  <si>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Мероприятия с сфере культуры и кинематографии</t>
  </si>
  <si>
    <t>Укрепление материально-технической базы учреждений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</si>
  <si>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</si>
  <si>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</si>
  <si>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</si>
  <si>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</si>
  <si>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</si>
  <si>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</si>
  <si>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</si>
  <si>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</si>
  <si>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</si>
  <si>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</si>
  <si>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</si>
  <si>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</si>
  <si>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</si>
  <si>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810</t>
  </si>
  <si>
    <t>Мероприятия в сфере образования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</si>
  <si>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</si>
  <si>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</si>
  <si>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</si>
  <si>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</si>
  <si>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</si>
  <si>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</si>
  <si>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</si>
  <si>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</si>
  <si>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</si>
  <si>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</si>
  <si>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</si>
  <si>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</si>
  <si>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</si>
  <si>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</si>
  <si>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</si>
  <si>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</si>
  <si>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</si>
  <si>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</si>
  <si>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</si>
  <si>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</si>
  <si>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</si>
  <si>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</si>
  <si>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</si>
  <si>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</si>
  <si>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</si>
  <si>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400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</si>
  <si>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</si>
  <si>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</si>
  <si>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</si>
  <si>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</si>
  <si>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</si>
  <si>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</si>
  <si>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</si>
  <si>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</si>
  <si>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</si>
  <si>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</si>
  <si>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</si>
  <si>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</si>
  <si>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</si>
  <si>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</si>
  <si>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</si>
  <si>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Муниципальная программа Сергиево-Посадского муниципального района "Жилище"</t>
  </si>
  <si>
    <t>Другие общегосударственные вопросы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</si>
  <si>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</si>
  <si>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</si>
  <si>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</si>
  <si>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</si>
  <si>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</si>
  <si>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Мероприятия в сфере дополнительного образования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</si>
  <si>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</si>
  <si>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</si>
  <si>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03 0 0000 000</t>
  </si>
  <si>
    <t>01 0 00 00000</t>
  </si>
  <si>
    <t>02 0 00 00000</t>
  </si>
  <si>
    <t>02 1 00 00000</t>
  </si>
  <si>
    <t>09 2 00 00000</t>
  </si>
  <si>
    <t>09 4 00 00000</t>
  </si>
  <si>
    <t>03 0 00 00000</t>
  </si>
  <si>
    <t>03 1 0 00000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</si>
  <si>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</si>
  <si>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</si>
  <si>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</si>
  <si>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</si>
  <si>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</si>
  <si>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</si>
  <si>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</si>
  <si>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</si>
  <si>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</si>
  <si>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</si>
  <si>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</si>
  <si>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</si>
  <si>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</si>
  <si>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</si>
  <si>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</si>
  <si>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05 1 00 00000</t>
  </si>
  <si>
    <t>05 0 00 00000</t>
  </si>
  <si>
    <t>06 0 00 00000</t>
  </si>
  <si>
    <t>06 0 00 88880</t>
  </si>
  <si>
    <t>07 0 00 00000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</si>
  <si>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</si>
  <si>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</si>
  <si>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</si>
  <si>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</si>
  <si>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</si>
  <si>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</si>
  <si>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</si>
  <si>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</si>
  <si>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</si>
  <si>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11 0 00 17590</t>
  </si>
  <si>
    <t>11 0 00 88880</t>
  </si>
  <si>
    <t>12 1 00 00000</t>
  </si>
  <si>
    <t>12 1 00 88880</t>
  </si>
  <si>
    <t>12 3 00 00000</t>
  </si>
  <si>
    <t>12 3 00 88880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</si>
  <si>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</si>
  <si>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</si>
  <si>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</si>
  <si>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</si>
  <si>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</si>
  <si>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</si>
  <si>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</si>
  <si>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</si>
  <si>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17 0 00 88880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</si>
  <si>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</si>
  <si>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</si>
  <si>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</si>
  <si>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</si>
  <si>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</si>
  <si>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</si>
  <si>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</si>
  <si>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</si>
  <si>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</si>
  <si>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</si>
  <si>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</si>
  <si>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</si>
  <si>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Расходы на обеспечение деятельности (оказание услуг) муниципальных учреждений</t>
  </si>
  <si>
    <t>14 0 00 00000</t>
  </si>
  <si>
    <t>Подпрограмма "Профилактика преступлений и иных правонарушений"</t>
  </si>
  <si>
    <t>Расходы на обеспечение деятельности МКУ "ЕДДС-112"</t>
  </si>
  <si>
    <t>08 2 00 90590</t>
  </si>
  <si>
    <t>08 5 00 00000</t>
  </si>
  <si>
    <t>08 5 00 88810</t>
  </si>
  <si>
    <t>Мероприятия по охране окружающей среды</t>
  </si>
  <si>
    <t>07 0 00 88870</t>
  </si>
  <si>
    <t>Обеспечение деятельности МАУ "Ледовый спортивный комплекс "Сергиев Посад"</t>
  </si>
  <si>
    <t>Обеспечение деятельности МУ ФОСКИ "Сплочение"</t>
  </si>
  <si>
    <t>25 1 00 77720</t>
  </si>
  <si>
    <t>Обеспечение и защита информационно-технологической и телекоммуникационной инфраструктуры</t>
  </si>
  <si>
    <t>04 0 00 00000</t>
  </si>
  <si>
    <t>04 0 00 88880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</si>
  <si>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</si>
  <si>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районе"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</si>
  <si>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</si>
  <si>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Муниципальная программа  "Доступная среда"</t>
  </si>
  <si>
    <t>Муниципальная  программа  "Создание условий для устойчивого экономического роста в Сергиево-Посадском муниципальном районе Московской области"</t>
  </si>
  <si>
    <t>Дополнительное образование детей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</si>
  <si>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</si>
  <si>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</si>
  <si>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Муниципальная программа Сергиево-Посадского муниципального района "Развитие образования в Сергиево-Посадском муниципальном районе Московской области"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</si>
  <si>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</si>
  <si>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</si>
  <si>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 программа  "Архитектура и градостроительство Сергиево-Посадского муниципального  района Московской области"</t>
  </si>
  <si>
    <t>Муниципальная программа Сергиево-Посадского муниципального района "Развитие  культуры в 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</si>
  <si>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</si>
  <si>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</si>
  <si>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</si>
  <si>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</si>
  <si>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 программа Сергиево-Посадского муниципального района "Муниципальное управление"</t>
  </si>
  <si>
    <t>20 0 00 88800</t>
  </si>
  <si>
    <t>Мероприятия по муниципальной программе "Доступная среда"</t>
  </si>
  <si>
    <t>13 0 00 88780</t>
  </si>
  <si>
    <t>01 0 00 62080</t>
  </si>
  <si>
    <t>03 1 00 62110</t>
  </si>
  <si>
    <t>03 1 00 62140</t>
  </si>
  <si>
    <t>03 2 00 60680</t>
  </si>
  <si>
    <t>03 2 00 62200</t>
  </si>
  <si>
    <t>03 2 00 62210</t>
  </si>
  <si>
    <t>03 2 00 62220</t>
  </si>
  <si>
    <t>03 2 00 62230</t>
  </si>
  <si>
    <t>03 2 00 62240</t>
  </si>
  <si>
    <t>09 3 00 60820</t>
  </si>
  <si>
    <t>12 2 00 60690</t>
  </si>
  <si>
    <t>12 5 00 60700</t>
  </si>
  <si>
    <t>12 5 00 60830</t>
  </si>
  <si>
    <t>Софинансирование субсидии на 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 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</si>
  <si>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</si>
  <si>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</si>
  <si>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</si>
  <si>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</si>
  <si>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</si>
  <si>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 xml:space="preserve">Руководитель контрольно-счетной комиссии муниципального образования </t>
  </si>
  <si>
    <t>06 0 00 60870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</si>
  <si>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</si>
  <si>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</si>
  <si>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Другие вопросы в области жилищно-коммунального хозяйства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</si>
  <si>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</si>
  <si>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</si>
  <si>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Жилищное хозяйство</t>
  </si>
  <si>
    <t>Подпрограмма III "Создание условий для обеспечения качественными жилишно-коммунальными услугами"</t>
  </si>
  <si>
    <t>Подпрограмма I "Чистая вода"</t>
  </si>
  <si>
    <t>Подпрограмма IV "Энергосбережение и повышение энергетической эффективности "</t>
  </si>
  <si>
    <t>10 4 00 00000</t>
  </si>
  <si>
    <t>10 4 00 88780</t>
  </si>
  <si>
    <t>10 3 00 00000</t>
  </si>
  <si>
    <t>10 3 00 S4080</t>
  </si>
  <si>
    <t>10 3 00 61420</t>
  </si>
  <si>
    <t>10 3 00 61410</t>
  </si>
  <si>
    <t>Субсидия на ремонт подъездов многоквартирных домов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</si>
  <si>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</si>
  <si>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</si>
  <si>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</si>
  <si>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Повышение квалификации работников</t>
  </si>
  <si>
    <t>12 5 00 04880</t>
  </si>
  <si>
    <t>10 3 00 88950</t>
  </si>
  <si>
    <t>Подпрограмма "Комфортная городская среда"</t>
  </si>
  <si>
    <t>18 1 00 00000</t>
  </si>
  <si>
    <t>18 1 00 62670</t>
  </si>
  <si>
    <t>26 0 00 88880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</si>
  <si>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</si>
  <si>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03 2 00 82270</t>
  </si>
  <si>
    <t>Муниципальная  программа  "Формирование современной комфортной городской среды"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</si>
  <si>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</si>
  <si>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23 0 00 S2640</t>
  </si>
  <si>
    <t xml:space="preserve">Субсидия на мероприятия по созданию в дошкольных образовательных, общеобразовательных огранизациях,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</si>
  <si>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09 2 00 L4970</t>
  </si>
  <si>
    <t>Софинансирование субсидии по капитальному ремонту и ремонту автомобильных дорог общего пользования местного значения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</si>
  <si>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</si>
  <si>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Другие вопросы в области образования</t>
  </si>
  <si>
    <t>Подпрограмма "Повышение инвестиционной привлекательности Сергиево-Посадского муниципального района"</t>
  </si>
  <si>
    <t>14</t>
  </si>
  <si>
    <t>06 0 00 L5670</t>
  </si>
  <si>
    <t>Софинансирование субсидии на компенсацию оплаты основного долга  по ипотечному жилищному кредиту</t>
  </si>
  <si>
    <t>13 0 00 88000</t>
  </si>
  <si>
    <t>Прочие расходы на обеспечение деятельности подведомственных учреждений</t>
  </si>
  <si>
    <t>03 1 00 88850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</si>
  <si>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</si>
  <si>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</si>
  <si>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</si>
  <si>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02 2 00 88810</t>
  </si>
  <si>
    <t>Проведение мероприятий, направленных на популяризацию сферы культуры</t>
  </si>
  <si>
    <t>Субсидия в капитальные вложения в объекты общего образования</t>
  </si>
  <si>
    <t>Мероприятия по содержанию муниципального индустриального парка</t>
  </si>
  <si>
    <t>02 1 00 88100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</si>
  <si>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</si>
  <si>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09 7 00 51340</t>
  </si>
  <si>
    <t>Доплаты к пенсиям, дополнильное пенсионное обеспечение</t>
  </si>
  <si>
    <t>Размещение социальной рекламы</t>
  </si>
  <si>
    <t>13 0 00 88870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</si>
  <si>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</si>
  <si>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</si>
  <si>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23 0 00 S1560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</si>
  <si>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</si>
  <si>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Расходы на компенсацию затрат субъектам малого и среднего предпринимательства</t>
  </si>
  <si>
    <t>Мероприятие "Создание и развитие индустриальных парков, промышленных площадок"</t>
  </si>
  <si>
    <t>Софинансирование субсидии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</si>
  <si>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03 3 00 82190</t>
  </si>
  <si>
    <t>Расходы на мероприятия по организации отдыха детей в каникулярное время</t>
  </si>
  <si>
    <t>Предоставление субсидии Союзу "Торгово-промышленная палата Сергиево-Посадского района"</t>
  </si>
  <si>
    <t>11 0 00 88860</t>
  </si>
  <si>
    <t>Установка индивидуальных приборов учета энергетических ресурсов в муниципальном жилищном фонде</t>
  </si>
  <si>
    <t>05 1 12 77710</t>
  </si>
  <si>
    <t>Мероприятия в сфере физической культуры и спорта</t>
  </si>
  <si>
    <t>Подпрограмма 3 «Обеспечение жильем детей – сирот и детей, оставшихся без попечения родителей, лиц из числа детей-сирот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</si>
  <si>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</si>
  <si>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</si>
  <si>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Связь и информатика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</si>
  <si>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</si>
  <si>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</si>
  <si>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</si>
  <si>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</si>
  <si>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</si>
  <si>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</si>
  <si>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22 0 00 06004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</si>
  <si>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</si>
  <si>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</si>
  <si>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</si>
  <si>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12 5 00 07704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</si>
  <si>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</si>
  <si>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</si>
  <si>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</si>
  <si>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11 0 00 08774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</si>
  <si>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</si>
  <si>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11 0 00 07774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</si>
  <si>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</si>
  <si>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</si>
  <si>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Благоустройство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</si>
  <si>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</si>
  <si>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</si>
  <si>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</si>
  <si>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</si>
  <si>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</si>
  <si>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</si>
  <si>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</si>
  <si>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</si>
  <si>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</si>
  <si>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</si>
  <si>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</si>
  <si>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 из бюджета городского поселения Сергиев Посад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</si>
  <si>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</si>
  <si>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</si>
  <si>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</si>
  <si>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</si>
  <si>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</si>
  <si>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</si>
  <si>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</si>
  <si>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</si>
  <si>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</si>
  <si>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</si>
  <si>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</si>
  <si>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</si>
  <si>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</si>
  <si>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</si>
  <si>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</si>
  <si>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</si>
  <si>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</si>
  <si>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</si>
  <si>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</si>
  <si>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</si>
  <si>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</si>
  <si>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</si>
  <si>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</si>
  <si>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</si>
  <si>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</si>
  <si>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</si>
  <si>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</si>
  <si>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</si>
  <si>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</si>
  <si>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</si>
  <si>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</si>
  <si>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</si>
  <si>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</si>
  <si>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</si>
  <si>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</si>
  <si>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</si>
  <si>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</si>
  <si>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</si>
  <si>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</si>
  <si>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</si>
  <si>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</si>
  <si>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</si>
  <si>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</si>
  <si>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</si>
  <si>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</si>
  <si>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</si>
  <si>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</si>
  <si>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</si>
  <si>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</si>
  <si>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</si>
  <si>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</si>
  <si>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</si>
  <si>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</si>
  <si>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</si>
  <si>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</si>
  <si>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</si>
  <si>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</si>
  <si>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</si>
  <si>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</si>
  <si>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</si>
  <si>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</si>
  <si>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</si>
  <si>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</si>
  <si>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</si>
  <si>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</si>
  <si>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</si>
  <si>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Реализация мероприятий по ликвидации несанкционированных свалок и навалов мусора</t>
  </si>
  <si>
    <t>07 0 00 88880</t>
  </si>
  <si>
    <t>Участие в мероприятиях по пропаганде экологически безопасного обращения с отходами</t>
  </si>
  <si>
    <t>07 0 00 88860</t>
  </si>
  <si>
    <t>12 5 00 00602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</si>
  <si>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</si>
  <si>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</si>
  <si>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</si>
  <si>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</si>
  <si>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</si>
  <si>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</si>
  <si>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</si>
  <si>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</si>
  <si>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</si>
  <si>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</si>
  <si>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</si>
  <si>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</si>
  <si>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</si>
  <si>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</si>
  <si>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</si>
  <si>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</si>
  <si>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</si>
  <si>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</si>
  <si>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</si>
  <si>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Поддержка образования для детей с ограниченными возможностями здоровья 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</si>
  <si>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</si>
  <si>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</si>
  <si>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</si>
  <si>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</si>
  <si>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</si>
  <si>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</si>
  <si>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</si>
  <si>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</si>
  <si>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</si>
  <si>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</si>
  <si>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</si>
  <si>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</si>
  <si>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</si>
  <si>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</si>
  <si>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</si>
  <si>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</si>
  <si>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</si>
  <si>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</si>
  <si>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12 5 00 09809</t>
  </si>
  <si>
    <t>Реализация мероприятий по устойчивому развитию сельских территорий</t>
  </si>
  <si>
    <t>14 1 00 S1570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</si>
  <si>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</si>
  <si>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</si>
  <si>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10 3 00 00690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</si>
  <si>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</si>
  <si>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18 1 F2 11300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</si>
  <si>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</si>
  <si>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</si>
  <si>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Организация безбарьерного доступа в подъезды многоквартирных домов</t>
  </si>
  <si>
    <t>23 0 00 88870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</si>
  <si>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</si>
  <si>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</si>
  <si>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</si>
  <si>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02 1 00 88820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</si>
  <si>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</si>
  <si>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</si>
  <si>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</si>
  <si>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</si>
  <si>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</si>
  <si>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</si>
  <si>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</si>
  <si>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</si>
  <si>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</si>
  <si>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22 0 00 87760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</si>
  <si>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</si>
  <si>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</si>
  <si>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</si>
  <si>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</si>
  <si>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</si>
  <si>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18 1 F2 S2740</t>
  </si>
  <si>
    <t>02 3 А1 S0480</t>
  </si>
  <si>
    <t>05 2 P5 S2610</t>
  </si>
  <si>
    <t>03 2 D2 80600</t>
  </si>
  <si>
    <t>03 2 D2 S0600</t>
  </si>
  <si>
    <t>03 1 D2 S0600</t>
  </si>
  <si>
    <t>03 2 E1 S4480</t>
  </si>
  <si>
    <t>03 2 E1 S4260</t>
  </si>
  <si>
    <t>03 2 E4 S2770</t>
  </si>
  <si>
    <t>03 2 E4 S2780</t>
  </si>
  <si>
    <t>03 3 E2 S2480</t>
  </si>
  <si>
    <t>04 0 D6 S0940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</si>
  <si>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</si>
  <si>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</si>
  <si>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</si>
  <si>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твердых коммунальных отходов </t>
  </si>
  <si>
    <t xml:space="preserve">Софинансирование субсидии на разработку проектной документации на рекультивацию полигонов твердых коммунальных отходов </t>
  </si>
  <si>
    <t xml:space="preserve">Расходы на разработку проектной документации на рекультивацию полигонов твердых коммунальных отходов </t>
  </si>
  <si>
    <t>10 1 00 S0330</t>
  </si>
  <si>
    <t>10 3 00 10117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</si>
  <si>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</si>
  <si>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 xml:space="preserve">Межбюджетные трансферты </t>
  </si>
  <si>
    <t>500</t>
  </si>
  <si>
    <t xml:space="preserve">Иные межбюджетные трансферты </t>
  </si>
  <si>
    <t>540</t>
  </si>
  <si>
    <t>Софинансирование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</si>
  <si>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</si>
  <si>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</si>
  <si>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02 3 00 88850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</si>
  <si>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</si>
  <si>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10 3 00 61430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</si>
  <si>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</si>
  <si>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</si>
  <si>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</si>
  <si>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устройство контейнерных площадок</t>
  </si>
  <si>
    <t>18 1 00 S1670</t>
  </si>
  <si>
    <t>Софинансирование субсидии на устройство контейнерных площадок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</si>
  <si>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</si>
  <si>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</si>
  <si>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</si>
  <si>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Мероприятия по предупреждению возникновения аварийной ситуации на объектах жилищно-коммунального хозяйства</t>
  </si>
  <si>
    <t>10 3 00 88880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</si>
  <si>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</si>
  <si>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17 0 00 S0650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</si>
  <si>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</si>
  <si>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17 0 00 S0140</t>
  </si>
  <si>
    <t>18 3 00 S5010</t>
  </si>
  <si>
    <t>Иные межбюджетные трансферты в форме дотаций на возмещение затрат на ремонт подъездов в рамках государственной программы "Формирование современной комфортной городской среды",за работы, выполненные в 2018 году</t>
  </si>
  <si>
    <t xml:space="preserve">Иные межбюджетные трансферты в форме дотаций </t>
  </si>
  <si>
    <t>03 1 00 65010</t>
  </si>
  <si>
    <t>Стипендии</t>
  </si>
  <si>
    <t>340</t>
  </si>
  <si>
    <t>Премии и гранты</t>
  </si>
  <si>
    <t>350</t>
  </si>
  <si>
    <t>03 2 00 65010</t>
  </si>
  <si>
    <t>08 6 00 00000</t>
  </si>
  <si>
    <t xml:space="preserve">Субсидия на реализацию мероприятий федеральной целевой программы «Увековечение памяти погибших при защите Отечества на 2019 - 2024 годы» </t>
  </si>
  <si>
    <t>08 6 00 S299F</t>
  </si>
  <si>
    <t>342,7</t>
  </si>
  <si>
    <t>Расходы на строительство и реконструкцию объектов коммунальной инфраструктуры</t>
  </si>
  <si>
    <t>10 3 00 84080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</si>
  <si>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</si>
  <si>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12 5 00 10016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</si>
  <si>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</si>
  <si>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</si>
  <si>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</si>
  <si>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</si>
  <si>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</si>
  <si>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</si>
  <si>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Приложение № 8</t>
  </si>
  <si>
    <t>Сергиево-Посадского</t>
  </si>
  <si>
    <t>от              №</t>
  </si>
  <si>
    <t xml:space="preserve">группам и подгруппам видов расходов  </t>
  </si>
  <si>
    <t>Утверждено</t>
  </si>
  <si>
    <t>Исполнено</t>
  </si>
  <si>
    <t>ВСЕГО</t>
  </si>
  <si>
    <t>% исполнения</t>
  </si>
  <si>
    <t>тыс. руб.</t>
  </si>
  <si>
    <t xml:space="preserve"> Исполнение бюджета Сергиево-Посадского муниципального района  за 2019 год  по целевым статьям (муниципальным программам),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</si>
</sst>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0" fontId="4" fillId="0" borderId="10" xfId="6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0" fontId="14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80" fontId="14" fillId="0" borderId="10" xfId="0" applyNumberFormat="1" applyFont="1" applyBorder="1" applyAlignment="1">
      <alignment wrapText="1"/>
    </xf>
    <xf numFmtId="180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180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1352"/>
  <sheetViews>
    <sheetView tabSelected="1" view="pageBreakPreview" zoomScale="120" zoomScaleSheetLayoutView="120" zoomScalePageLayoutView="0" workbookViewId="0" topLeftCell="A340">
      <selection activeCell="D373" sqref="D373"/>
    </sheetView>
  </sheetViews>
  <sheetFormatPr defaultColWidth="8.875" defaultRowHeight="12.75"/>
  <cols>
    <col min="1" max="1" width="4.00390625" style="2" customWidth="1"/>
    <col min="2" max="2" width="64.125" style="1" customWidth="1"/>
    <col min="3" max="3" width="15.75390625" style="3" customWidth="1"/>
    <col min="4" max="5" width="4.75390625" style="3" customWidth="1"/>
    <col min="6" max="6" width="6.125" style="3" customWidth="1"/>
    <col min="7" max="7" width="15.75390625" style="1" customWidth="1"/>
    <col min="8" max="8" width="15.625" style="1" customWidth="1"/>
    <col min="9" max="9" width="14.00390625" style="1" hidden="1" customWidth="1"/>
    <col min="10" max="10" width="15.375" style="1" hidden="1" customWidth="1"/>
    <col min="11" max="11" width="13.75390625" style="1" customWidth="1"/>
    <col min="12" max="12" width="15.625" style="1" customWidth="1"/>
    <col min="13" max="13" width="7.875" style="1" customWidth="1"/>
    <col min="14" max="14" width="11.875" style="1" bestFit="1" customWidth="1"/>
    <col min="15" max="16" width="8.875" style="1" customWidth="1"/>
    <col min="17" max="17" width="11.875" style="1" bestFit="1" customWidth="1"/>
    <col min="18" max="16384" width="8.875" style="1" customWidth="1"/>
  </cols>
  <sheetData>
    <row r="1" spans="3:11" ht="17.25" customHeight="1">
      <c r="C1" s="1"/>
      <c r="G1" s="66"/>
      <c r="H1" s="67"/>
      <c r="I1" s="28"/>
      <c r="J1" s="28"/>
      <c r="K1" s="27"/>
    </row>
    <row r="2" spans="3:11" ht="17.25" customHeight="1">
      <c r="C2" s="1"/>
      <c r="G2" s="68"/>
      <c r="I2"/>
      <c r="J2" s="28"/>
      <c r="K2" s="1" t="s">
        <v>680</v>
      </c>
    </row>
    <row r="3" spans="3:11" ht="17.25" customHeight="1">
      <c r="C3" s="1"/>
      <c r="G3" s="68"/>
      <c r="I3"/>
      <c r="J3" s="28"/>
      <c r="K3" s="1" t="s">
        <v>143</v>
      </c>
    </row>
    <row r="4" spans="3:11" ht="17.25" customHeight="1">
      <c r="C4" s="1"/>
      <c r="G4" s="68"/>
      <c r="I4"/>
      <c r="J4" s="28"/>
      <c r="K4" s="1" t="s">
        <v>681</v>
      </c>
    </row>
    <row r="5" spans="3:11" ht="17.25" customHeight="1">
      <c r="C5" s="1"/>
      <c r="G5" s="68"/>
      <c r="I5"/>
      <c r="J5" s="28"/>
      <c r="K5" s="1" t="s">
        <v>144</v>
      </c>
    </row>
    <row r="6" spans="3:11" ht="17.25" customHeight="1">
      <c r="C6" s="1"/>
      <c r="G6" s="68"/>
      <c r="I6"/>
      <c r="J6" s="28"/>
      <c r="K6" s="1" t="s">
        <v>145</v>
      </c>
    </row>
    <row r="7" spans="3:11" ht="17.25" customHeight="1">
      <c r="C7" s="1"/>
      <c r="G7" s="68"/>
      <c r="I7"/>
      <c r="J7" s="28"/>
      <c r="K7" s="1" t="s">
        <v>682</v>
      </c>
    </row>
    <row r="8" spans="3:11" ht="17.25" customHeight="1">
      <c r="C8" s="1"/>
      <c r="G8" s="66"/>
      <c r="H8" s="67"/>
      <c r="I8" s="28"/>
      <c r="J8" s="28"/>
      <c r="K8" s="27"/>
    </row>
    <row r="9" spans="3:11" ht="18" customHeight="1">
      <c r="C9" s="1"/>
      <c r="G9" s="13"/>
      <c r="H9" s="13"/>
      <c r="I9" s="13"/>
      <c r="J9" s="13"/>
      <c r="K9" s="13"/>
    </row>
    <row r="10" spans="1:12" ht="19.5" customHeight="1">
      <c r="A10" s="94" t="s">
        <v>689</v>
      </c>
      <c r="B10" s="95"/>
      <c r="C10" s="95"/>
      <c r="D10" s="95"/>
      <c r="E10" s="95"/>
      <c r="F10" s="95"/>
      <c r="G10" s="95"/>
      <c r="H10" s="96"/>
      <c r="I10" s="96"/>
      <c r="J10" s="96"/>
      <c r="K10" s="96"/>
      <c r="L10" s="96"/>
    </row>
    <row r="11" spans="1:12" ht="18.75" customHeight="1">
      <c r="A11" s="94" t="s">
        <v>683</v>
      </c>
      <c r="B11" s="95"/>
      <c r="C11" s="95"/>
      <c r="D11" s="95"/>
      <c r="E11" s="95"/>
      <c r="F11" s="95"/>
      <c r="G11" s="95"/>
      <c r="H11" s="96"/>
      <c r="I11" s="96"/>
      <c r="J11" s="96"/>
      <c r="K11" s="96"/>
      <c r="L11" s="96"/>
    </row>
    <row r="12" spans="1:12" ht="13.5" customHeight="1">
      <c r="A12" s="12"/>
      <c r="B12" s="92"/>
      <c r="C12" s="93"/>
      <c r="D12" s="93"/>
      <c r="E12" s="93"/>
      <c r="F12" s="93"/>
      <c r="G12" s="93"/>
      <c r="H12" s="93"/>
      <c r="L12" s="84" t="s">
        <v>688</v>
      </c>
    </row>
    <row r="13" spans="1:13" ht="18.75" customHeight="1">
      <c r="A13" s="97" t="s">
        <v>119</v>
      </c>
      <c r="B13" s="97" t="s">
        <v>120</v>
      </c>
      <c r="C13" s="88" t="s">
        <v>121</v>
      </c>
      <c r="D13" s="88" t="s">
        <v>122</v>
      </c>
      <c r="E13" s="88" t="s">
        <v>123</v>
      </c>
      <c r="F13" s="88" t="s">
        <v>124</v>
      </c>
      <c r="G13" s="90" t="s">
        <v>684</v>
      </c>
      <c r="H13" s="91"/>
      <c r="I13" s="80"/>
      <c r="J13" s="80"/>
      <c r="K13" s="90" t="s">
        <v>685</v>
      </c>
      <c r="L13" s="91"/>
      <c r="M13" s="89"/>
    </row>
    <row r="14" spans="1:13" ht="114" customHeight="1">
      <c r="A14" s="89"/>
      <c r="B14" s="89"/>
      <c r="C14" s="89"/>
      <c r="D14" s="89"/>
      <c r="E14" s="89"/>
      <c r="F14" s="89"/>
      <c r="G14" s="81" t="s">
        <v>686</v>
      </c>
      <c r="H14" s="5" t="s">
        <v>146</v>
      </c>
      <c r="I14" s="82"/>
      <c r="J14" s="83"/>
      <c r="K14" s="81" t="s">
        <v>686</v>
      </c>
      <c r="L14" s="5" t="s">
        <v>146</v>
      </c>
      <c r="M14" s="5" t="s">
        <v>687</v>
      </c>
    </row>
    <row r="15" spans="1:17" s="9" customFormat="1" ht="24.75" customHeight="1">
      <c r="A15" s="5"/>
      <c r="B15" s="5" t="s">
        <v>155</v>
      </c>
      <c r="C15" s="62"/>
      <c r="D15" s="6"/>
      <c r="E15" s="6"/>
      <c r="F15" s="6"/>
      <c r="G15" s="31">
        <f>G16+G23+G77+G328+G343+G383+G398+G421+G448+G473+G537+G570+G863+G887+G939+G943+G998+G1018+G1026+G1051+G1070+G1086+G959</f>
        <v>8147339.6</v>
      </c>
      <c r="H15" s="31">
        <f>H16+H23+H77+H328+H343+H383+H398+H421+H448+H473+H537+H570+H863+H887+H939+H943+H998+H1018+H1026+H1051+H1070+H1086+H959</f>
        <v>4469740.2</v>
      </c>
      <c r="I15" s="7"/>
      <c r="J15" s="8"/>
      <c r="K15" s="31">
        <f>K16+K23+K77+K328+K343+K383+K398+K421+K448+K473+K537+K570+K863+K887+K939+K943+K998+K1018+K1026+K1051+K1070+K1086+K959</f>
        <v>7763794.500000001</v>
      </c>
      <c r="L15" s="31">
        <f>L16+L23+L77+L328+L343+L383+L398+L421+L448+L473+L537+L570+L863+L887+L939+L943+L998+L1018+L1026+L1051+L1070+L1086+L959</f>
        <v>4168372.4000000004</v>
      </c>
      <c r="M15" s="31">
        <f>K15/G15*100</f>
        <v>95.29238845033538</v>
      </c>
      <c r="Q15" s="35"/>
    </row>
    <row r="16" spans="1:14" s="9" customFormat="1" ht="47.25">
      <c r="A16" s="15">
        <v>1</v>
      </c>
      <c r="B16" s="32" t="s">
        <v>323</v>
      </c>
      <c r="C16" s="34" t="s">
        <v>245</v>
      </c>
      <c r="D16" s="20"/>
      <c r="E16" s="20"/>
      <c r="F16" s="19"/>
      <c r="G16" s="40">
        <f>G17+G20</f>
        <v>48483</v>
      </c>
      <c r="H16" s="40">
        <f>H17+H20</f>
        <v>37939</v>
      </c>
      <c r="I16" s="7"/>
      <c r="J16" s="8"/>
      <c r="K16" s="40">
        <f>K17+K20</f>
        <v>36266.5</v>
      </c>
      <c r="L16" s="40">
        <f>L17+L20</f>
        <v>25738.3</v>
      </c>
      <c r="M16" s="31">
        <f>K16/G16*100</f>
        <v>74.80250809562115</v>
      </c>
      <c r="N16" s="35"/>
    </row>
    <row r="17" spans="1:13" s="9" customFormat="1" ht="47.25">
      <c r="A17" s="29"/>
      <c r="B17" s="53" t="s">
        <v>237</v>
      </c>
      <c r="C17" s="22" t="s">
        <v>344</v>
      </c>
      <c r="D17" s="22" t="s">
        <v>125</v>
      </c>
      <c r="E17" s="22" t="s">
        <v>125</v>
      </c>
      <c r="F17" s="63"/>
      <c r="G17" s="21">
        <f>G18</f>
        <v>37939</v>
      </c>
      <c r="H17" s="21">
        <f>H18</f>
        <v>37939</v>
      </c>
      <c r="I17" s="7"/>
      <c r="J17" s="8"/>
      <c r="K17" s="21">
        <f>K18</f>
        <v>25738.3</v>
      </c>
      <c r="L17" s="21">
        <f>L18</f>
        <v>25738.3</v>
      </c>
      <c r="M17" s="85"/>
    </row>
    <row r="18" spans="1:13" s="9" customFormat="1" ht="15.75">
      <c r="A18" s="29"/>
      <c r="B18" s="53" t="s">
        <v>159</v>
      </c>
      <c r="C18" s="22" t="s">
        <v>344</v>
      </c>
      <c r="D18" s="22" t="s">
        <v>125</v>
      </c>
      <c r="E18" s="22" t="s">
        <v>125</v>
      </c>
      <c r="F18" s="25" t="s">
        <v>158</v>
      </c>
      <c r="G18" s="21">
        <f>G19</f>
        <v>37939</v>
      </c>
      <c r="H18" s="21">
        <f>H19</f>
        <v>37939</v>
      </c>
      <c r="I18" s="7"/>
      <c r="J18" s="8"/>
      <c r="K18" s="21">
        <f>K19</f>
        <v>25738.3</v>
      </c>
      <c r="L18" s="21">
        <f>L19</f>
        <v>25738.3</v>
      </c>
      <c r="M18" s="85"/>
    </row>
    <row r="19" spans="1:13" s="9" customFormat="1" ht="31.5">
      <c r="A19" s="29"/>
      <c r="B19" s="53" t="s">
        <v>165</v>
      </c>
      <c r="C19" s="22" t="s">
        <v>344</v>
      </c>
      <c r="D19" s="22" t="s">
        <v>125</v>
      </c>
      <c r="E19" s="22" t="s">
        <v>125</v>
      </c>
      <c r="F19" s="25" t="s">
        <v>164</v>
      </c>
      <c r="G19" s="21">
        <f>44745-6806</f>
        <v>37939</v>
      </c>
      <c r="H19" s="21">
        <f>G19</f>
        <v>37939</v>
      </c>
      <c r="I19" s="7"/>
      <c r="J19" s="8"/>
      <c r="K19" s="21">
        <v>25738.3</v>
      </c>
      <c r="L19" s="21">
        <f>K19</f>
        <v>25738.3</v>
      </c>
      <c r="M19" s="85"/>
    </row>
    <row r="20" spans="1:13" s="9" customFormat="1" ht="47.25">
      <c r="A20" s="29"/>
      <c r="B20" s="53" t="s">
        <v>306</v>
      </c>
      <c r="C20" s="22" t="s">
        <v>305</v>
      </c>
      <c r="D20" s="22" t="s">
        <v>125</v>
      </c>
      <c r="E20" s="22" t="s">
        <v>125</v>
      </c>
      <c r="F20" s="25"/>
      <c r="G20" s="21">
        <f>G21</f>
        <v>10544</v>
      </c>
      <c r="H20" s="21"/>
      <c r="I20" s="7"/>
      <c r="J20" s="8"/>
      <c r="K20" s="21">
        <f>K21</f>
        <v>10528.2</v>
      </c>
      <c r="L20" s="21"/>
      <c r="M20" s="85"/>
    </row>
    <row r="21" spans="1:13" s="9" customFormat="1" ht="15.75">
      <c r="A21" s="29"/>
      <c r="B21" s="53" t="s">
        <v>307</v>
      </c>
      <c r="C21" s="22" t="s">
        <v>305</v>
      </c>
      <c r="D21" s="22" t="s">
        <v>125</v>
      </c>
      <c r="E21" s="22" t="s">
        <v>125</v>
      </c>
      <c r="F21" s="25" t="s">
        <v>160</v>
      </c>
      <c r="G21" s="21">
        <f>G22</f>
        <v>10544</v>
      </c>
      <c r="H21" s="21"/>
      <c r="I21" s="7"/>
      <c r="J21" s="8"/>
      <c r="K21" s="21">
        <f>K22</f>
        <v>10528.2</v>
      </c>
      <c r="L21" s="21"/>
      <c r="M21" s="85"/>
    </row>
    <row r="22" spans="1:13" s="9" customFormat="1" ht="31.5">
      <c r="A22" s="29"/>
      <c r="B22" s="53" t="s">
        <v>163</v>
      </c>
      <c r="C22" s="22" t="s">
        <v>305</v>
      </c>
      <c r="D22" s="22" t="s">
        <v>125</v>
      </c>
      <c r="E22" s="22" t="s">
        <v>125</v>
      </c>
      <c r="F22" s="25" t="s">
        <v>161</v>
      </c>
      <c r="G22" s="21">
        <f>9714+830</f>
        <v>10544</v>
      </c>
      <c r="H22" s="21"/>
      <c r="I22" s="7"/>
      <c r="J22" s="8"/>
      <c r="K22" s="21">
        <v>10528.2</v>
      </c>
      <c r="L22" s="21"/>
      <c r="M22" s="85"/>
    </row>
    <row r="23" spans="1:13" s="11" customFormat="1" ht="47.25">
      <c r="A23" s="5">
        <v>2</v>
      </c>
      <c r="B23" s="32" t="s">
        <v>335</v>
      </c>
      <c r="C23" s="38" t="s">
        <v>246</v>
      </c>
      <c r="D23" s="38"/>
      <c r="E23" s="38"/>
      <c r="F23" s="39"/>
      <c r="G23" s="40">
        <f>G24+G37+G49+G68</f>
        <v>422598.50000000006</v>
      </c>
      <c r="H23" s="40">
        <f>H24+H37+H49+H68</f>
        <v>13772.2</v>
      </c>
      <c r="K23" s="40">
        <f>K24+K37+K49+K68</f>
        <v>421882.30000000005</v>
      </c>
      <c r="L23" s="40">
        <f>L24+L37+L49+L68</f>
        <v>13772.2</v>
      </c>
      <c r="M23" s="31">
        <f>K23/G23*100</f>
        <v>99.830524717906</v>
      </c>
    </row>
    <row r="24" spans="1:13" s="11" customFormat="1" ht="15.75">
      <c r="A24" s="5"/>
      <c r="B24" s="56" t="s">
        <v>173</v>
      </c>
      <c r="C24" s="45" t="s">
        <v>247</v>
      </c>
      <c r="D24" s="39" t="s">
        <v>130</v>
      </c>
      <c r="E24" s="39" t="s">
        <v>126</v>
      </c>
      <c r="F24" s="39"/>
      <c r="G24" s="47">
        <f>G25+G28+G34+G31</f>
        <v>48000.5</v>
      </c>
      <c r="H24" s="47">
        <f>H25+H28+H34</f>
        <v>0</v>
      </c>
      <c r="K24" s="47">
        <f>K25+K28+K34+K31</f>
        <v>48000.5</v>
      </c>
      <c r="L24" s="47">
        <f>L25+L28+L34</f>
        <v>0</v>
      </c>
      <c r="M24" s="86"/>
    </row>
    <row r="25" spans="1:13" s="11" customFormat="1" ht="15.75">
      <c r="A25" s="5"/>
      <c r="B25" s="53" t="s">
        <v>205</v>
      </c>
      <c r="C25" s="22" t="s">
        <v>102</v>
      </c>
      <c r="D25" s="22" t="s">
        <v>130</v>
      </c>
      <c r="E25" s="22" t="s">
        <v>126</v>
      </c>
      <c r="F25" s="22"/>
      <c r="G25" s="21">
        <f>G26</f>
        <v>37044.6</v>
      </c>
      <c r="H25" s="31"/>
      <c r="K25" s="21">
        <f>K26</f>
        <v>37044.6</v>
      </c>
      <c r="L25" s="31"/>
      <c r="M25" s="86"/>
    </row>
    <row r="26" spans="1:13" s="11" customFormat="1" ht="31.5">
      <c r="A26" s="5"/>
      <c r="B26" s="53" t="s">
        <v>157</v>
      </c>
      <c r="C26" s="22" t="s">
        <v>102</v>
      </c>
      <c r="D26" s="22" t="s">
        <v>130</v>
      </c>
      <c r="E26" s="22" t="s">
        <v>126</v>
      </c>
      <c r="F26" s="22" t="s">
        <v>156</v>
      </c>
      <c r="G26" s="21">
        <f>G27</f>
        <v>37044.6</v>
      </c>
      <c r="H26" s="31"/>
      <c r="K26" s="21">
        <f>K27</f>
        <v>37044.6</v>
      </c>
      <c r="L26" s="31"/>
      <c r="M26" s="86"/>
    </row>
    <row r="27" spans="1:13" s="11" customFormat="1" ht="15.75">
      <c r="A27" s="5"/>
      <c r="B27" s="53" t="s">
        <v>167</v>
      </c>
      <c r="C27" s="22" t="s">
        <v>102</v>
      </c>
      <c r="D27" s="22" t="s">
        <v>130</v>
      </c>
      <c r="E27" s="22" t="s">
        <v>126</v>
      </c>
      <c r="F27" s="22" t="s">
        <v>166</v>
      </c>
      <c r="G27" s="30">
        <f>34427.1+2555+62.5</f>
        <v>37044.6</v>
      </c>
      <c r="H27" s="31"/>
      <c r="K27" s="30">
        <f>34427.1+2555+62.5</f>
        <v>37044.6</v>
      </c>
      <c r="L27" s="31"/>
      <c r="M27" s="86"/>
    </row>
    <row r="28" spans="1:13" s="11" customFormat="1" ht="31.5">
      <c r="A28" s="5"/>
      <c r="B28" s="53" t="s">
        <v>175</v>
      </c>
      <c r="C28" s="22" t="s">
        <v>415</v>
      </c>
      <c r="D28" s="22" t="s">
        <v>130</v>
      </c>
      <c r="E28" s="22" t="s">
        <v>126</v>
      </c>
      <c r="F28" s="22"/>
      <c r="G28" s="21">
        <f>G29</f>
        <v>1000</v>
      </c>
      <c r="H28" s="31"/>
      <c r="K28" s="21">
        <f>K29</f>
        <v>1000</v>
      </c>
      <c r="L28" s="31"/>
      <c r="M28" s="86"/>
    </row>
    <row r="29" spans="1:13" s="11" customFormat="1" ht="31.5">
      <c r="A29" s="5"/>
      <c r="B29" s="53" t="s">
        <v>157</v>
      </c>
      <c r="C29" s="22" t="s">
        <v>415</v>
      </c>
      <c r="D29" s="22" t="s">
        <v>130</v>
      </c>
      <c r="E29" s="22" t="s">
        <v>126</v>
      </c>
      <c r="F29" s="22" t="s">
        <v>156</v>
      </c>
      <c r="G29" s="21">
        <f>G30</f>
        <v>1000</v>
      </c>
      <c r="H29" s="31"/>
      <c r="K29" s="21">
        <f>K30</f>
        <v>1000</v>
      </c>
      <c r="L29" s="31"/>
      <c r="M29" s="86"/>
    </row>
    <row r="30" spans="1:13" s="11" customFormat="1" ht="15.75">
      <c r="A30" s="5"/>
      <c r="B30" s="53" t="s">
        <v>167</v>
      </c>
      <c r="C30" s="22" t="s">
        <v>415</v>
      </c>
      <c r="D30" s="22" t="s">
        <v>130</v>
      </c>
      <c r="E30" s="22" t="s">
        <v>126</v>
      </c>
      <c r="F30" s="22" t="s">
        <v>166</v>
      </c>
      <c r="G30" s="21">
        <f>1000</f>
        <v>1000</v>
      </c>
      <c r="H30" s="31"/>
      <c r="K30" s="21">
        <f>1000</f>
        <v>1000</v>
      </c>
      <c r="L30" s="31"/>
      <c r="M30" s="86"/>
    </row>
    <row r="31" spans="1:13" s="11" customFormat="1" ht="15.75">
      <c r="A31" s="5"/>
      <c r="B31" s="53" t="s">
        <v>177</v>
      </c>
      <c r="C31" s="22" t="s">
        <v>595</v>
      </c>
      <c r="D31" s="22" t="s">
        <v>130</v>
      </c>
      <c r="E31" s="22" t="s">
        <v>126</v>
      </c>
      <c r="F31" s="22"/>
      <c r="G31" s="21">
        <f>G32</f>
        <v>509.4</v>
      </c>
      <c r="H31" s="31"/>
      <c r="K31" s="21">
        <f>K32</f>
        <v>509.4</v>
      </c>
      <c r="L31" s="31"/>
      <c r="M31" s="86"/>
    </row>
    <row r="32" spans="1:13" s="11" customFormat="1" ht="31.5">
      <c r="A32" s="5"/>
      <c r="B32" s="53" t="s">
        <v>157</v>
      </c>
      <c r="C32" s="22" t="s">
        <v>595</v>
      </c>
      <c r="D32" s="22" t="s">
        <v>130</v>
      </c>
      <c r="E32" s="22" t="s">
        <v>126</v>
      </c>
      <c r="F32" s="22" t="s">
        <v>156</v>
      </c>
      <c r="G32" s="21">
        <f>G33</f>
        <v>509.4</v>
      </c>
      <c r="H32" s="31"/>
      <c r="K32" s="21">
        <f>K33</f>
        <v>509.4</v>
      </c>
      <c r="L32" s="31"/>
      <c r="M32" s="86"/>
    </row>
    <row r="33" spans="1:13" s="11" customFormat="1" ht="15.75">
      <c r="A33" s="5"/>
      <c r="B33" s="53" t="s">
        <v>167</v>
      </c>
      <c r="C33" s="22" t="s">
        <v>595</v>
      </c>
      <c r="D33" s="22" t="s">
        <v>130</v>
      </c>
      <c r="E33" s="22" t="s">
        <v>126</v>
      </c>
      <c r="F33" s="22" t="s">
        <v>166</v>
      </c>
      <c r="G33" s="21">
        <f>571.9-62.5</f>
        <v>509.4</v>
      </c>
      <c r="H33" s="31"/>
      <c r="K33" s="21">
        <f>571.9-62.5</f>
        <v>509.4</v>
      </c>
      <c r="L33" s="31"/>
      <c r="M33" s="86"/>
    </row>
    <row r="34" spans="1:13" s="11" customFormat="1" ht="31.5">
      <c r="A34" s="5"/>
      <c r="B34" s="64" t="s">
        <v>66</v>
      </c>
      <c r="C34" s="24" t="s">
        <v>65</v>
      </c>
      <c r="D34" s="22" t="s">
        <v>130</v>
      </c>
      <c r="E34" s="22" t="s">
        <v>126</v>
      </c>
      <c r="F34" s="25"/>
      <c r="G34" s="21">
        <f>G35</f>
        <v>9446.5</v>
      </c>
      <c r="H34" s="31"/>
      <c r="K34" s="21">
        <f>K35</f>
        <v>9446.5</v>
      </c>
      <c r="L34" s="31"/>
      <c r="M34" s="86"/>
    </row>
    <row r="35" spans="1:13" s="11" customFormat="1" ht="31.5">
      <c r="A35" s="5"/>
      <c r="B35" s="60" t="s">
        <v>157</v>
      </c>
      <c r="C35" s="24" t="s">
        <v>65</v>
      </c>
      <c r="D35" s="22" t="s">
        <v>130</v>
      </c>
      <c r="E35" s="22" t="s">
        <v>126</v>
      </c>
      <c r="F35" s="25" t="s">
        <v>156</v>
      </c>
      <c r="G35" s="21">
        <f>G36</f>
        <v>9446.5</v>
      </c>
      <c r="H35" s="31"/>
      <c r="K35" s="21">
        <f>K36</f>
        <v>9446.5</v>
      </c>
      <c r="L35" s="31"/>
      <c r="M35" s="86"/>
    </row>
    <row r="36" spans="1:13" s="11" customFormat="1" ht="15.75">
      <c r="A36" s="5"/>
      <c r="B36" s="64" t="s">
        <v>167</v>
      </c>
      <c r="C36" s="24" t="s">
        <v>65</v>
      </c>
      <c r="D36" s="22" t="s">
        <v>130</v>
      </c>
      <c r="E36" s="22" t="s">
        <v>126</v>
      </c>
      <c r="F36" s="25" t="s">
        <v>166</v>
      </c>
      <c r="G36" s="21">
        <f>9446.5</f>
        <v>9446.5</v>
      </c>
      <c r="H36" s="31"/>
      <c r="K36" s="21">
        <f>9446.5</f>
        <v>9446.5</v>
      </c>
      <c r="L36" s="31"/>
      <c r="M36" s="86"/>
    </row>
    <row r="37" spans="1:13" s="11" customFormat="1" ht="47.25">
      <c r="A37" s="5"/>
      <c r="B37" s="56" t="s">
        <v>217</v>
      </c>
      <c r="C37" s="39" t="s">
        <v>103</v>
      </c>
      <c r="D37" s="39" t="s">
        <v>130</v>
      </c>
      <c r="E37" s="39" t="s">
        <v>126</v>
      </c>
      <c r="F37" s="39"/>
      <c r="G37" s="47">
        <f>G38+G41+G46</f>
        <v>100467.7</v>
      </c>
      <c r="H37" s="47">
        <f>H38+H41</f>
        <v>0</v>
      </c>
      <c r="K37" s="47">
        <f>K38+K41+K46</f>
        <v>99754.7</v>
      </c>
      <c r="L37" s="47">
        <f>L38+L41</f>
        <v>0</v>
      </c>
      <c r="M37" s="86"/>
    </row>
    <row r="38" spans="1:13" s="11" customFormat="1" ht="15.75">
      <c r="A38" s="5"/>
      <c r="B38" s="53" t="s">
        <v>206</v>
      </c>
      <c r="C38" s="22" t="s">
        <v>104</v>
      </c>
      <c r="D38" s="22" t="s">
        <v>130</v>
      </c>
      <c r="E38" s="22" t="s">
        <v>126</v>
      </c>
      <c r="F38" s="22"/>
      <c r="G38" s="21">
        <f>G39</f>
        <v>71319.9</v>
      </c>
      <c r="H38" s="31"/>
      <c r="K38" s="21">
        <f>K39</f>
        <v>71319.9</v>
      </c>
      <c r="L38" s="31"/>
      <c r="M38" s="86"/>
    </row>
    <row r="39" spans="1:13" s="11" customFormat="1" ht="31.5">
      <c r="A39" s="5"/>
      <c r="B39" s="53" t="s">
        <v>157</v>
      </c>
      <c r="C39" s="22" t="s">
        <v>104</v>
      </c>
      <c r="D39" s="22" t="s">
        <v>130</v>
      </c>
      <c r="E39" s="22" t="s">
        <v>126</v>
      </c>
      <c r="F39" s="22" t="s">
        <v>156</v>
      </c>
      <c r="G39" s="21">
        <f>G40</f>
        <v>71319.9</v>
      </c>
      <c r="H39" s="31"/>
      <c r="K39" s="21">
        <f>K40</f>
        <v>71319.9</v>
      </c>
      <c r="L39" s="31"/>
      <c r="M39" s="86"/>
    </row>
    <row r="40" spans="1:13" s="11" customFormat="1" ht="15.75">
      <c r="A40" s="5"/>
      <c r="B40" s="53" t="s">
        <v>167</v>
      </c>
      <c r="C40" s="22" t="s">
        <v>104</v>
      </c>
      <c r="D40" s="22" t="s">
        <v>130</v>
      </c>
      <c r="E40" s="22" t="s">
        <v>126</v>
      </c>
      <c r="F40" s="22" t="s">
        <v>166</v>
      </c>
      <c r="G40" s="30">
        <f>61031.7+2767.5+4245+673.5+670+1444.3+487.9</f>
        <v>71319.9</v>
      </c>
      <c r="H40" s="31"/>
      <c r="K40" s="30">
        <f>61031.7+2767.5+4245+673.5+670+1444.3+487.9</f>
        <v>71319.9</v>
      </c>
      <c r="L40" s="31"/>
      <c r="M40" s="86"/>
    </row>
    <row r="41" spans="1:13" s="11" customFormat="1" ht="15.75">
      <c r="A41" s="5"/>
      <c r="B41" s="53" t="s">
        <v>176</v>
      </c>
      <c r="C41" s="22" t="s">
        <v>105</v>
      </c>
      <c r="D41" s="22" t="s">
        <v>130</v>
      </c>
      <c r="E41" s="22" t="s">
        <v>126</v>
      </c>
      <c r="F41" s="22"/>
      <c r="G41" s="21">
        <f>G44+G42</f>
        <v>25142.3</v>
      </c>
      <c r="H41" s="31"/>
      <c r="K41" s="21">
        <f>K44+K42</f>
        <v>24992.3</v>
      </c>
      <c r="L41" s="31"/>
      <c r="M41" s="86"/>
    </row>
    <row r="42" spans="1:13" s="11" customFormat="1" ht="15.75">
      <c r="A42" s="5"/>
      <c r="B42" s="53" t="s">
        <v>159</v>
      </c>
      <c r="C42" s="22" t="s">
        <v>105</v>
      </c>
      <c r="D42" s="22" t="s">
        <v>130</v>
      </c>
      <c r="E42" s="22" t="s">
        <v>126</v>
      </c>
      <c r="F42" s="22" t="s">
        <v>158</v>
      </c>
      <c r="G42" s="21">
        <f>G43</f>
        <v>938.8</v>
      </c>
      <c r="H42" s="31"/>
      <c r="K42" s="21">
        <f>K43</f>
        <v>788.8</v>
      </c>
      <c r="L42" s="31"/>
      <c r="M42" s="86"/>
    </row>
    <row r="43" spans="1:13" s="11" customFormat="1" ht="31.5">
      <c r="A43" s="5"/>
      <c r="B43" s="53" t="s">
        <v>165</v>
      </c>
      <c r="C43" s="22" t="s">
        <v>105</v>
      </c>
      <c r="D43" s="22" t="s">
        <v>130</v>
      </c>
      <c r="E43" s="22" t="s">
        <v>126</v>
      </c>
      <c r="F43" s="22" t="s">
        <v>164</v>
      </c>
      <c r="G43" s="21">
        <f>1200+425-525-161.2</f>
        <v>938.8</v>
      </c>
      <c r="H43" s="31"/>
      <c r="K43" s="21">
        <v>788.8</v>
      </c>
      <c r="L43" s="31"/>
      <c r="M43" s="86"/>
    </row>
    <row r="44" spans="1:13" s="11" customFormat="1" ht="31.5">
      <c r="A44" s="5"/>
      <c r="B44" s="53" t="s">
        <v>157</v>
      </c>
      <c r="C44" s="22" t="s">
        <v>105</v>
      </c>
      <c r="D44" s="22" t="s">
        <v>130</v>
      </c>
      <c r="E44" s="22" t="s">
        <v>126</v>
      </c>
      <c r="F44" s="22" t="s">
        <v>156</v>
      </c>
      <c r="G44" s="21">
        <f>G45</f>
        <v>24203.5</v>
      </c>
      <c r="H44" s="31"/>
      <c r="K44" s="21">
        <f>K45</f>
        <v>24203.5</v>
      </c>
      <c r="L44" s="31"/>
      <c r="M44" s="86"/>
    </row>
    <row r="45" spans="1:13" s="11" customFormat="1" ht="15.75">
      <c r="A45" s="5"/>
      <c r="B45" s="53" t="s">
        <v>167</v>
      </c>
      <c r="C45" s="22" t="s">
        <v>105</v>
      </c>
      <c r="D45" s="22" t="s">
        <v>130</v>
      </c>
      <c r="E45" s="22" t="s">
        <v>126</v>
      </c>
      <c r="F45" s="22" t="s">
        <v>166</v>
      </c>
      <c r="G45" s="21">
        <f>26800.7-2771.7+174.5</f>
        <v>24203.5</v>
      </c>
      <c r="H45" s="31"/>
      <c r="K45" s="21">
        <f>26800.7-2771.7+174.5</f>
        <v>24203.5</v>
      </c>
      <c r="L45" s="31"/>
      <c r="M45" s="86"/>
    </row>
    <row r="46" spans="1:13" s="11" customFormat="1" ht="35.25" customHeight="1">
      <c r="A46" s="5"/>
      <c r="B46" s="53" t="s">
        <v>412</v>
      </c>
      <c r="C46" s="22" t="s">
        <v>411</v>
      </c>
      <c r="D46" s="22" t="s">
        <v>130</v>
      </c>
      <c r="E46" s="22" t="s">
        <v>126</v>
      </c>
      <c r="F46" s="19"/>
      <c r="G46" s="21">
        <f>G47</f>
        <v>4005.4999999999995</v>
      </c>
      <c r="H46" s="31"/>
      <c r="K46" s="21">
        <f>K47</f>
        <v>3442.5</v>
      </c>
      <c r="L46" s="31"/>
      <c r="M46" s="86"/>
    </row>
    <row r="47" spans="1:13" s="11" customFormat="1" ht="15.75">
      <c r="A47" s="5"/>
      <c r="B47" s="53" t="s">
        <v>159</v>
      </c>
      <c r="C47" s="22" t="s">
        <v>411</v>
      </c>
      <c r="D47" s="22" t="s">
        <v>130</v>
      </c>
      <c r="E47" s="22" t="s">
        <v>126</v>
      </c>
      <c r="F47" s="22" t="s">
        <v>158</v>
      </c>
      <c r="G47" s="21">
        <f>G48</f>
        <v>4005.4999999999995</v>
      </c>
      <c r="H47" s="31"/>
      <c r="K47" s="21">
        <f>K48</f>
        <v>3442.5</v>
      </c>
      <c r="L47" s="31"/>
      <c r="M47" s="86"/>
    </row>
    <row r="48" spans="1:13" s="11" customFormat="1" ht="31.5">
      <c r="A48" s="5"/>
      <c r="B48" s="53" t="s">
        <v>165</v>
      </c>
      <c r="C48" s="22" t="s">
        <v>411</v>
      </c>
      <c r="D48" s="22" t="s">
        <v>130</v>
      </c>
      <c r="E48" s="22" t="s">
        <v>126</v>
      </c>
      <c r="F48" s="22" t="s">
        <v>164</v>
      </c>
      <c r="G48" s="21">
        <f>1150+662.5+2125.6-13.3+80.7</f>
        <v>4005.4999999999995</v>
      </c>
      <c r="H48" s="31"/>
      <c r="K48" s="21">
        <v>3442.5</v>
      </c>
      <c r="L48" s="31"/>
      <c r="M48" s="86"/>
    </row>
    <row r="49" spans="1:13" s="11" customFormat="1" ht="31.5">
      <c r="A49" s="5"/>
      <c r="B49" s="56" t="s">
        <v>34</v>
      </c>
      <c r="C49" s="39" t="s">
        <v>106</v>
      </c>
      <c r="D49" s="22" t="s">
        <v>133</v>
      </c>
      <c r="E49" s="22" t="s">
        <v>127</v>
      </c>
      <c r="F49" s="43"/>
      <c r="G49" s="47">
        <f>G59+G62+G53+G56+G50+G65</f>
        <v>262590.80000000005</v>
      </c>
      <c r="H49" s="47">
        <f>H59+H62+H53+H56+H50</f>
        <v>13772.2</v>
      </c>
      <c r="K49" s="47">
        <f>K59+K62+K53+K56+K50+K65</f>
        <v>262590.80000000005</v>
      </c>
      <c r="L49" s="47">
        <f>L59+L62+L53+L56+L50</f>
        <v>13772.2</v>
      </c>
      <c r="M49" s="86"/>
    </row>
    <row r="50" spans="1:13" s="11" customFormat="1" ht="50.25" customHeight="1">
      <c r="A50" s="5"/>
      <c r="B50" s="19" t="s">
        <v>529</v>
      </c>
      <c r="C50" s="22" t="s">
        <v>568</v>
      </c>
      <c r="D50" s="22" t="s">
        <v>133</v>
      </c>
      <c r="E50" s="22" t="s">
        <v>127</v>
      </c>
      <c r="F50" s="22"/>
      <c r="G50" s="21">
        <f>G51</f>
        <v>320</v>
      </c>
      <c r="H50" s="21">
        <f>H51</f>
        <v>320</v>
      </c>
      <c r="K50" s="21">
        <f>K51</f>
        <v>320</v>
      </c>
      <c r="L50" s="21">
        <f>L51</f>
        <v>320</v>
      </c>
      <c r="M50" s="86"/>
    </row>
    <row r="51" spans="1:13" s="11" customFormat="1" ht="35.25" customHeight="1">
      <c r="A51" s="5"/>
      <c r="B51" s="19" t="s">
        <v>157</v>
      </c>
      <c r="C51" s="22" t="s">
        <v>568</v>
      </c>
      <c r="D51" s="22" t="s">
        <v>133</v>
      </c>
      <c r="E51" s="22" t="s">
        <v>127</v>
      </c>
      <c r="F51" s="22" t="s">
        <v>156</v>
      </c>
      <c r="G51" s="21">
        <f>G52</f>
        <v>320</v>
      </c>
      <c r="H51" s="21">
        <f>H52</f>
        <v>320</v>
      </c>
      <c r="K51" s="21">
        <f>K52</f>
        <v>320</v>
      </c>
      <c r="L51" s="21">
        <f>L52</f>
        <v>320</v>
      </c>
      <c r="M51" s="86"/>
    </row>
    <row r="52" spans="1:13" s="11" customFormat="1" ht="15.75">
      <c r="A52" s="5"/>
      <c r="B52" s="19" t="s">
        <v>167</v>
      </c>
      <c r="C52" s="22" t="s">
        <v>568</v>
      </c>
      <c r="D52" s="22" t="s">
        <v>133</v>
      </c>
      <c r="E52" s="22" t="s">
        <v>127</v>
      </c>
      <c r="F52" s="22" t="s">
        <v>166</v>
      </c>
      <c r="G52" s="21">
        <f>320</f>
        <v>320</v>
      </c>
      <c r="H52" s="21">
        <f>G52</f>
        <v>320</v>
      </c>
      <c r="K52" s="21">
        <f>320</f>
        <v>320</v>
      </c>
      <c r="L52" s="21">
        <f>K52</f>
        <v>320</v>
      </c>
      <c r="M52" s="86"/>
    </row>
    <row r="53" spans="1:13" s="11" customFormat="1" ht="63">
      <c r="A53" s="5"/>
      <c r="B53" s="19" t="s">
        <v>437</v>
      </c>
      <c r="C53" s="22" t="s">
        <v>612</v>
      </c>
      <c r="D53" s="22" t="s">
        <v>133</v>
      </c>
      <c r="E53" s="22" t="s">
        <v>127</v>
      </c>
      <c r="F53" s="22"/>
      <c r="G53" s="21">
        <f>G54</f>
        <v>13452.2</v>
      </c>
      <c r="H53" s="21">
        <f>H54</f>
        <v>13452.2</v>
      </c>
      <c r="K53" s="21">
        <f>K54</f>
        <v>13452.2</v>
      </c>
      <c r="L53" s="21">
        <f>L54</f>
        <v>13452.2</v>
      </c>
      <c r="M53" s="86"/>
    </row>
    <row r="54" spans="1:13" s="11" customFormat="1" ht="31.5">
      <c r="A54" s="5"/>
      <c r="B54" s="19" t="s">
        <v>157</v>
      </c>
      <c r="C54" s="22" t="s">
        <v>612</v>
      </c>
      <c r="D54" s="22" t="s">
        <v>133</v>
      </c>
      <c r="E54" s="22" t="s">
        <v>127</v>
      </c>
      <c r="F54" s="22" t="s">
        <v>156</v>
      </c>
      <c r="G54" s="21">
        <f>G55</f>
        <v>13452.2</v>
      </c>
      <c r="H54" s="21">
        <f>H55</f>
        <v>13452.2</v>
      </c>
      <c r="K54" s="21">
        <f>K55</f>
        <v>13452.2</v>
      </c>
      <c r="L54" s="21">
        <f>L55</f>
        <v>13452.2</v>
      </c>
      <c r="M54" s="86"/>
    </row>
    <row r="55" spans="1:13" s="11" customFormat="1" ht="15.75">
      <c r="A55" s="5"/>
      <c r="B55" s="14" t="s">
        <v>167</v>
      </c>
      <c r="C55" s="22" t="s">
        <v>612</v>
      </c>
      <c r="D55" s="22" t="s">
        <v>133</v>
      </c>
      <c r="E55" s="22" t="s">
        <v>127</v>
      </c>
      <c r="F55" s="22" t="s">
        <v>166</v>
      </c>
      <c r="G55" s="21">
        <f>13940-487.8</f>
        <v>13452.2</v>
      </c>
      <c r="H55" s="21">
        <f>G55</f>
        <v>13452.2</v>
      </c>
      <c r="K55" s="21">
        <f>13940-487.8</f>
        <v>13452.2</v>
      </c>
      <c r="L55" s="21">
        <f>K55</f>
        <v>13452.2</v>
      </c>
      <c r="M55" s="86"/>
    </row>
    <row r="56" spans="1:13" s="11" customFormat="1" ht="51.75" customHeight="1">
      <c r="A56" s="5"/>
      <c r="B56" s="19" t="s">
        <v>427</v>
      </c>
      <c r="C56" s="22" t="s">
        <v>612</v>
      </c>
      <c r="D56" s="22" t="s">
        <v>133</v>
      </c>
      <c r="E56" s="22" t="s">
        <v>127</v>
      </c>
      <c r="F56" s="22"/>
      <c r="G56" s="21">
        <f>G57</f>
        <v>13452.1</v>
      </c>
      <c r="H56" s="21">
        <f>H57</f>
        <v>0</v>
      </c>
      <c r="K56" s="21">
        <f>K57</f>
        <v>13452.1</v>
      </c>
      <c r="L56" s="21">
        <f>L57</f>
        <v>0</v>
      </c>
      <c r="M56" s="86"/>
    </row>
    <row r="57" spans="1:13" s="11" customFormat="1" ht="31.5">
      <c r="A57" s="5"/>
      <c r="B57" s="19" t="s">
        <v>157</v>
      </c>
      <c r="C57" s="22" t="s">
        <v>612</v>
      </c>
      <c r="D57" s="22" t="s">
        <v>133</v>
      </c>
      <c r="E57" s="22" t="s">
        <v>127</v>
      </c>
      <c r="F57" s="22" t="s">
        <v>156</v>
      </c>
      <c r="G57" s="21">
        <f>G58</f>
        <v>13452.1</v>
      </c>
      <c r="H57" s="21">
        <f>H58</f>
        <v>0</v>
      </c>
      <c r="K57" s="21">
        <f>K58</f>
        <v>13452.1</v>
      </c>
      <c r="L57" s="21">
        <f>L58</f>
        <v>0</v>
      </c>
      <c r="M57" s="86"/>
    </row>
    <row r="58" spans="1:13" s="11" customFormat="1" ht="15.75">
      <c r="A58" s="5"/>
      <c r="B58" s="14" t="s">
        <v>167</v>
      </c>
      <c r="C58" s="22" t="s">
        <v>612</v>
      </c>
      <c r="D58" s="22" t="s">
        <v>133</v>
      </c>
      <c r="E58" s="22" t="s">
        <v>127</v>
      </c>
      <c r="F58" s="22" t="s">
        <v>166</v>
      </c>
      <c r="G58" s="21">
        <f>13940-487.9</f>
        <v>13452.1</v>
      </c>
      <c r="H58" s="21"/>
      <c r="K58" s="21">
        <f>13940-487.9</f>
        <v>13452.1</v>
      </c>
      <c r="L58" s="21"/>
      <c r="M58" s="86"/>
    </row>
    <row r="59" spans="1:13" s="11" customFormat="1" ht="31.5">
      <c r="A59" s="5"/>
      <c r="B59" s="53" t="s">
        <v>108</v>
      </c>
      <c r="C59" s="22" t="s">
        <v>107</v>
      </c>
      <c r="D59" s="22" t="s">
        <v>133</v>
      </c>
      <c r="E59" s="22" t="s">
        <v>127</v>
      </c>
      <c r="F59" s="43"/>
      <c r="G59" s="47">
        <f>G60</f>
        <v>231641.5</v>
      </c>
      <c r="H59" s="47">
        <f>H60</f>
        <v>0</v>
      </c>
      <c r="K59" s="47">
        <f>K60</f>
        <v>231641.5</v>
      </c>
      <c r="L59" s="47">
        <f>L60</f>
        <v>0</v>
      </c>
      <c r="M59" s="86"/>
    </row>
    <row r="60" spans="1:13" s="11" customFormat="1" ht="31.5">
      <c r="A60" s="5"/>
      <c r="B60" s="19" t="s">
        <v>157</v>
      </c>
      <c r="C60" s="22" t="s">
        <v>107</v>
      </c>
      <c r="D60" s="22" t="s">
        <v>133</v>
      </c>
      <c r="E60" s="22" t="s">
        <v>127</v>
      </c>
      <c r="F60" s="22">
        <v>600</v>
      </c>
      <c r="G60" s="21">
        <f>G61</f>
        <v>231641.5</v>
      </c>
      <c r="H60" s="31"/>
      <c r="K60" s="21">
        <f>K61</f>
        <v>231641.5</v>
      </c>
      <c r="L60" s="31"/>
      <c r="M60" s="86"/>
    </row>
    <row r="61" spans="1:13" s="11" customFormat="1" ht="15.75">
      <c r="A61" s="5"/>
      <c r="B61" s="14" t="s">
        <v>167</v>
      </c>
      <c r="C61" s="22" t="s">
        <v>107</v>
      </c>
      <c r="D61" s="22" t="s">
        <v>133</v>
      </c>
      <c r="E61" s="22" t="s">
        <v>127</v>
      </c>
      <c r="F61" s="22">
        <v>610</v>
      </c>
      <c r="G61" s="21">
        <f>200666.8-5887+14000+149.7+2712+20000</f>
        <v>231641.5</v>
      </c>
      <c r="H61" s="31"/>
      <c r="K61" s="21">
        <f>200666.8-5887+14000+149.7+2712+20000</f>
        <v>231641.5</v>
      </c>
      <c r="L61" s="31"/>
      <c r="M61" s="86"/>
    </row>
    <row r="62" spans="1:13" s="11" customFormat="1" ht="15.75">
      <c r="A62" s="5"/>
      <c r="B62" s="14" t="s">
        <v>241</v>
      </c>
      <c r="C62" s="22" t="s">
        <v>109</v>
      </c>
      <c r="D62" s="22" t="s">
        <v>133</v>
      </c>
      <c r="E62" s="22" t="s">
        <v>127</v>
      </c>
      <c r="F62" s="43"/>
      <c r="G62" s="21">
        <f>G63</f>
        <v>550</v>
      </c>
      <c r="H62" s="31"/>
      <c r="K62" s="21">
        <f>K63</f>
        <v>550</v>
      </c>
      <c r="L62" s="31"/>
      <c r="M62" s="86"/>
    </row>
    <row r="63" spans="1:13" s="11" customFormat="1" ht="31.5">
      <c r="A63" s="5"/>
      <c r="B63" s="14" t="s">
        <v>157</v>
      </c>
      <c r="C63" s="22" t="s">
        <v>109</v>
      </c>
      <c r="D63" s="22" t="s">
        <v>133</v>
      </c>
      <c r="E63" s="22" t="s">
        <v>127</v>
      </c>
      <c r="F63" s="22">
        <v>600</v>
      </c>
      <c r="G63" s="21">
        <f>G64</f>
        <v>550</v>
      </c>
      <c r="H63" s="31"/>
      <c r="K63" s="21">
        <f>K64</f>
        <v>550</v>
      </c>
      <c r="L63" s="31"/>
      <c r="M63" s="86"/>
    </row>
    <row r="64" spans="1:13" s="11" customFormat="1" ht="15.75">
      <c r="A64" s="5"/>
      <c r="B64" s="14" t="s">
        <v>167</v>
      </c>
      <c r="C64" s="22" t="s">
        <v>109</v>
      </c>
      <c r="D64" s="22" t="s">
        <v>133</v>
      </c>
      <c r="E64" s="22" t="s">
        <v>127</v>
      </c>
      <c r="F64" s="22">
        <v>610</v>
      </c>
      <c r="G64" s="21">
        <f>550</f>
        <v>550</v>
      </c>
      <c r="H64" s="31"/>
      <c r="K64" s="21">
        <f>550</f>
        <v>550</v>
      </c>
      <c r="L64" s="31"/>
      <c r="M64" s="86"/>
    </row>
    <row r="65" spans="1:13" s="11" customFormat="1" ht="35.25" customHeight="1">
      <c r="A65" s="5"/>
      <c r="B65" s="14" t="s">
        <v>598</v>
      </c>
      <c r="C65" s="22" t="s">
        <v>639</v>
      </c>
      <c r="D65" s="22" t="s">
        <v>133</v>
      </c>
      <c r="E65" s="22" t="s">
        <v>127</v>
      </c>
      <c r="F65" s="43"/>
      <c r="G65" s="21">
        <f>G66</f>
        <v>3175</v>
      </c>
      <c r="H65" s="31"/>
      <c r="K65" s="21">
        <f>K66</f>
        <v>3175</v>
      </c>
      <c r="L65" s="31"/>
      <c r="M65" s="86"/>
    </row>
    <row r="66" spans="1:13" s="11" customFormat="1" ht="31.5">
      <c r="A66" s="5"/>
      <c r="B66" s="14" t="s">
        <v>157</v>
      </c>
      <c r="C66" s="22" t="s">
        <v>639</v>
      </c>
      <c r="D66" s="22" t="s">
        <v>133</v>
      </c>
      <c r="E66" s="22" t="s">
        <v>127</v>
      </c>
      <c r="F66" s="22">
        <v>600</v>
      </c>
      <c r="G66" s="21">
        <f>G67</f>
        <v>3175</v>
      </c>
      <c r="H66" s="31"/>
      <c r="K66" s="21">
        <f>K67</f>
        <v>3175</v>
      </c>
      <c r="L66" s="31"/>
      <c r="M66" s="86"/>
    </row>
    <row r="67" spans="1:13" s="11" customFormat="1" ht="15.75">
      <c r="A67" s="5"/>
      <c r="B67" s="14" t="s">
        <v>167</v>
      </c>
      <c r="C67" s="22" t="s">
        <v>639</v>
      </c>
      <c r="D67" s="22" t="s">
        <v>133</v>
      </c>
      <c r="E67" s="22" t="s">
        <v>127</v>
      </c>
      <c r="F67" s="22">
        <v>610</v>
      </c>
      <c r="G67" s="21">
        <f>3175</f>
        <v>3175</v>
      </c>
      <c r="H67" s="31"/>
      <c r="K67" s="21">
        <f>3175</f>
        <v>3175</v>
      </c>
      <c r="L67" s="31"/>
      <c r="M67" s="86"/>
    </row>
    <row r="68" spans="1:13" s="11" customFormat="1" ht="15.75">
      <c r="A68" s="5"/>
      <c r="B68" s="53" t="s">
        <v>178</v>
      </c>
      <c r="C68" s="22" t="s">
        <v>110</v>
      </c>
      <c r="D68" s="22" t="s">
        <v>130</v>
      </c>
      <c r="E68" s="22" t="s">
        <v>129</v>
      </c>
      <c r="F68" s="30"/>
      <c r="G68" s="21">
        <f>G69</f>
        <v>11539.5</v>
      </c>
      <c r="H68" s="31"/>
      <c r="K68" s="21">
        <f>K69</f>
        <v>11536.3</v>
      </c>
      <c r="L68" s="31"/>
      <c r="M68" s="86"/>
    </row>
    <row r="69" spans="1:13" s="11" customFormat="1" ht="15.75">
      <c r="A69" s="5"/>
      <c r="B69" s="56" t="s">
        <v>179</v>
      </c>
      <c r="C69" s="39" t="s">
        <v>110</v>
      </c>
      <c r="D69" s="39" t="s">
        <v>130</v>
      </c>
      <c r="E69" s="39" t="s">
        <v>129</v>
      </c>
      <c r="F69" s="51"/>
      <c r="G69" s="47">
        <f>G70</f>
        <v>11539.5</v>
      </c>
      <c r="H69" s="31"/>
      <c r="K69" s="47">
        <f>K70</f>
        <v>11536.3</v>
      </c>
      <c r="L69" s="31"/>
      <c r="M69" s="86"/>
    </row>
    <row r="70" spans="1:13" s="11" customFormat="1" ht="63">
      <c r="A70" s="5"/>
      <c r="B70" s="24" t="s">
        <v>188</v>
      </c>
      <c r="C70" s="22" t="s">
        <v>111</v>
      </c>
      <c r="D70" s="22" t="s">
        <v>130</v>
      </c>
      <c r="E70" s="22" t="s">
        <v>129</v>
      </c>
      <c r="F70" s="24"/>
      <c r="G70" s="21">
        <f>G71+G73+G75</f>
        <v>11539.5</v>
      </c>
      <c r="H70" s="31"/>
      <c r="K70" s="21">
        <f>K71+K73+K75</f>
        <v>11536.3</v>
      </c>
      <c r="L70" s="31"/>
      <c r="M70" s="86"/>
    </row>
    <row r="71" spans="1:13" s="11" customFormat="1" ht="63">
      <c r="A71" s="5"/>
      <c r="B71" s="14" t="s">
        <v>170</v>
      </c>
      <c r="C71" s="22" t="s">
        <v>111</v>
      </c>
      <c r="D71" s="22" t="s">
        <v>130</v>
      </c>
      <c r="E71" s="22" t="s">
        <v>129</v>
      </c>
      <c r="F71" s="24" t="s">
        <v>168</v>
      </c>
      <c r="G71" s="21">
        <f>G72</f>
        <v>10127.5</v>
      </c>
      <c r="H71" s="31"/>
      <c r="K71" s="21">
        <f>K72</f>
        <v>10127.3</v>
      </c>
      <c r="L71" s="31"/>
      <c r="M71" s="86"/>
    </row>
    <row r="72" spans="1:13" s="11" customFormat="1" ht="15.75">
      <c r="A72" s="5"/>
      <c r="B72" s="14" t="s">
        <v>189</v>
      </c>
      <c r="C72" s="22" t="s">
        <v>111</v>
      </c>
      <c r="D72" s="22" t="s">
        <v>130</v>
      </c>
      <c r="E72" s="22" t="s">
        <v>129</v>
      </c>
      <c r="F72" s="24" t="s">
        <v>190</v>
      </c>
      <c r="G72" s="21">
        <v>10127.5</v>
      </c>
      <c r="H72" s="31"/>
      <c r="K72" s="21">
        <v>10127.3</v>
      </c>
      <c r="L72" s="31"/>
      <c r="M72" s="86"/>
    </row>
    <row r="73" spans="1:13" s="11" customFormat="1" ht="15.75">
      <c r="A73" s="5"/>
      <c r="B73" s="18" t="s">
        <v>159</v>
      </c>
      <c r="C73" s="22" t="s">
        <v>111</v>
      </c>
      <c r="D73" s="22" t="s">
        <v>130</v>
      </c>
      <c r="E73" s="22" t="s">
        <v>129</v>
      </c>
      <c r="F73" s="24" t="s">
        <v>158</v>
      </c>
      <c r="G73" s="21">
        <f>G74</f>
        <v>1411.1</v>
      </c>
      <c r="H73" s="31"/>
      <c r="K73" s="21">
        <f>K74</f>
        <v>1408.1</v>
      </c>
      <c r="L73" s="31"/>
      <c r="M73" s="86"/>
    </row>
    <row r="74" spans="1:13" s="11" customFormat="1" ht="31.5">
      <c r="A74" s="5"/>
      <c r="B74" s="18" t="s">
        <v>165</v>
      </c>
      <c r="C74" s="22" t="s">
        <v>111</v>
      </c>
      <c r="D74" s="22" t="s">
        <v>130</v>
      </c>
      <c r="E74" s="22" t="s">
        <v>129</v>
      </c>
      <c r="F74" s="24" t="s">
        <v>164</v>
      </c>
      <c r="G74" s="21">
        <v>1411.1</v>
      </c>
      <c r="H74" s="31"/>
      <c r="K74" s="21">
        <v>1408.1</v>
      </c>
      <c r="L74" s="31"/>
      <c r="M74" s="86"/>
    </row>
    <row r="75" spans="1:13" s="11" customFormat="1" ht="15.75">
      <c r="A75" s="5"/>
      <c r="B75" s="18" t="s">
        <v>184</v>
      </c>
      <c r="C75" s="22" t="s">
        <v>111</v>
      </c>
      <c r="D75" s="22" t="s">
        <v>130</v>
      </c>
      <c r="E75" s="22" t="s">
        <v>129</v>
      </c>
      <c r="F75" s="24" t="s">
        <v>185</v>
      </c>
      <c r="G75" s="21">
        <f>G76</f>
        <v>0.9</v>
      </c>
      <c r="H75" s="31"/>
      <c r="K75" s="21">
        <f>K76</f>
        <v>0.9</v>
      </c>
      <c r="L75" s="31"/>
      <c r="M75" s="86"/>
    </row>
    <row r="76" spans="1:13" s="11" customFormat="1" ht="15.75">
      <c r="A76" s="5"/>
      <c r="B76" s="18" t="s">
        <v>186</v>
      </c>
      <c r="C76" s="22" t="s">
        <v>111</v>
      </c>
      <c r="D76" s="22" t="s">
        <v>130</v>
      </c>
      <c r="E76" s="22" t="s">
        <v>129</v>
      </c>
      <c r="F76" s="24" t="s">
        <v>187</v>
      </c>
      <c r="G76" s="21">
        <v>0.9</v>
      </c>
      <c r="H76" s="31"/>
      <c r="K76" s="21">
        <v>0.9</v>
      </c>
      <c r="L76" s="31"/>
      <c r="M76" s="86"/>
    </row>
    <row r="77" spans="1:13" s="11" customFormat="1" ht="63">
      <c r="A77" s="15">
        <v>3</v>
      </c>
      <c r="B77" s="32" t="s">
        <v>331</v>
      </c>
      <c r="C77" s="41" t="s">
        <v>244</v>
      </c>
      <c r="D77" s="20"/>
      <c r="E77" s="20"/>
      <c r="F77" s="19"/>
      <c r="G77" s="40">
        <f>G78</f>
        <v>5479781.6</v>
      </c>
      <c r="H77" s="40">
        <f>H78</f>
        <v>3864297.4</v>
      </c>
      <c r="K77" s="40">
        <f>K78</f>
        <v>5232861.900000001</v>
      </c>
      <c r="L77" s="40">
        <f>L78</f>
        <v>3653957.8000000003</v>
      </c>
      <c r="M77" s="31">
        <f>K77/G77*100</f>
        <v>95.49398647566541</v>
      </c>
    </row>
    <row r="78" spans="1:13" s="11" customFormat="1" ht="15.75">
      <c r="A78" s="15"/>
      <c r="B78" s="18" t="s">
        <v>132</v>
      </c>
      <c r="C78" s="19" t="s">
        <v>250</v>
      </c>
      <c r="D78" s="22" t="s">
        <v>133</v>
      </c>
      <c r="E78" s="20"/>
      <c r="F78" s="19"/>
      <c r="G78" s="21">
        <f>G80+G125+G266+G301+G282</f>
        <v>5479781.6</v>
      </c>
      <c r="H78" s="21">
        <f>H80+H125+H266+H301+H282</f>
        <v>3864297.4</v>
      </c>
      <c r="K78" s="21">
        <f>K80+K125+K266+K301+K282</f>
        <v>5232861.900000001</v>
      </c>
      <c r="L78" s="21">
        <f>L80+L125+L266+L301+L282</f>
        <v>3653957.8000000003</v>
      </c>
      <c r="M78" s="86"/>
    </row>
    <row r="79" spans="1:13" s="11" customFormat="1" ht="15.75">
      <c r="A79" s="15"/>
      <c r="B79" s="18" t="s">
        <v>152</v>
      </c>
      <c r="C79" s="19" t="s">
        <v>250</v>
      </c>
      <c r="D79" s="22" t="s">
        <v>133</v>
      </c>
      <c r="E79" s="22" t="s">
        <v>126</v>
      </c>
      <c r="F79" s="19"/>
      <c r="G79" s="21">
        <f>G80</f>
        <v>1750585.5</v>
      </c>
      <c r="H79" s="21">
        <f>H80</f>
        <v>1142703</v>
      </c>
      <c r="K79" s="21">
        <f>K80</f>
        <v>1729039</v>
      </c>
      <c r="L79" s="21">
        <f>L80</f>
        <v>1121156.5</v>
      </c>
      <c r="M79" s="86"/>
    </row>
    <row r="80" spans="1:13" s="11" customFormat="1" ht="15.75">
      <c r="A80" s="15"/>
      <c r="B80" s="37" t="s">
        <v>46</v>
      </c>
      <c r="C80" s="43" t="s">
        <v>251</v>
      </c>
      <c r="D80" s="39" t="s">
        <v>133</v>
      </c>
      <c r="E80" s="39" t="s">
        <v>126</v>
      </c>
      <c r="F80" s="39"/>
      <c r="G80" s="47">
        <f>G87+G115+G119+G96+G93+G81+G90+G84</f>
        <v>1750585.5</v>
      </c>
      <c r="H80" s="47">
        <f>H87+H115+H119+H96+H93+H81+H90+H84</f>
        <v>1142703</v>
      </c>
      <c r="K80" s="47">
        <f>K87+K115+K119+K96+K93+K81+K90+K84</f>
        <v>1729039</v>
      </c>
      <c r="L80" s="47">
        <f>L87+L115+L119+L96+L93+L81+L90+L84</f>
        <v>1121156.5</v>
      </c>
      <c r="M80" s="86"/>
    </row>
    <row r="81" spans="1:13" s="11" customFormat="1" ht="47.25">
      <c r="A81" s="15"/>
      <c r="B81" s="19" t="s">
        <v>529</v>
      </c>
      <c r="C81" s="22" t="s">
        <v>554</v>
      </c>
      <c r="D81" s="22" t="s">
        <v>133</v>
      </c>
      <c r="E81" s="22" t="s">
        <v>126</v>
      </c>
      <c r="F81" s="25"/>
      <c r="G81" s="21">
        <f>G82</f>
        <v>3585</v>
      </c>
      <c r="H81" s="21">
        <f>H82</f>
        <v>3585</v>
      </c>
      <c r="K81" s="21">
        <f>K82</f>
        <v>3585</v>
      </c>
      <c r="L81" s="21">
        <f>L82</f>
        <v>3585</v>
      </c>
      <c r="M81" s="86"/>
    </row>
    <row r="82" spans="1:13" s="11" customFormat="1" ht="31.5">
      <c r="A82" s="15"/>
      <c r="B82" s="19" t="s">
        <v>157</v>
      </c>
      <c r="C82" s="22" t="s">
        <v>554</v>
      </c>
      <c r="D82" s="22" t="s">
        <v>133</v>
      </c>
      <c r="E82" s="22" t="s">
        <v>126</v>
      </c>
      <c r="F82" s="25" t="s">
        <v>156</v>
      </c>
      <c r="G82" s="21">
        <f>G83</f>
        <v>3585</v>
      </c>
      <c r="H82" s="21">
        <f>H83</f>
        <v>3585</v>
      </c>
      <c r="K82" s="21">
        <f>K83</f>
        <v>3585</v>
      </c>
      <c r="L82" s="21">
        <f>L83</f>
        <v>3585</v>
      </c>
      <c r="M82" s="86"/>
    </row>
    <row r="83" spans="1:13" s="11" customFormat="1" ht="15.75">
      <c r="A83" s="15"/>
      <c r="B83" s="19" t="s">
        <v>167</v>
      </c>
      <c r="C83" s="22" t="s">
        <v>554</v>
      </c>
      <c r="D83" s="22" t="s">
        <v>133</v>
      </c>
      <c r="E83" s="22" t="s">
        <v>126</v>
      </c>
      <c r="F83" s="25" t="s">
        <v>166</v>
      </c>
      <c r="G83" s="21">
        <f>3485+100</f>
        <v>3585</v>
      </c>
      <c r="H83" s="21">
        <f>G83</f>
        <v>3585</v>
      </c>
      <c r="K83" s="21">
        <f>3485+100</f>
        <v>3585</v>
      </c>
      <c r="L83" s="21">
        <f>K83</f>
        <v>3585</v>
      </c>
      <c r="M83" s="86"/>
    </row>
    <row r="84" spans="1:13" s="11" customFormat="1" ht="15.75">
      <c r="A84" s="15"/>
      <c r="B84" s="19" t="s">
        <v>659</v>
      </c>
      <c r="C84" s="22" t="s">
        <v>660</v>
      </c>
      <c r="D84" s="22" t="s">
        <v>133</v>
      </c>
      <c r="E84" s="22" t="s">
        <v>126</v>
      </c>
      <c r="F84" s="25"/>
      <c r="G84" s="21">
        <f>G85</f>
        <v>37440</v>
      </c>
      <c r="H84" s="21">
        <f>H85</f>
        <v>37440</v>
      </c>
      <c r="K84" s="21">
        <f>K85</f>
        <v>37440</v>
      </c>
      <c r="L84" s="21">
        <f>L85</f>
        <v>37440</v>
      </c>
      <c r="M84" s="86"/>
    </row>
    <row r="85" spans="1:13" s="11" customFormat="1" ht="31.5">
      <c r="A85" s="15"/>
      <c r="B85" s="19" t="s">
        <v>157</v>
      </c>
      <c r="C85" s="22" t="s">
        <v>660</v>
      </c>
      <c r="D85" s="22" t="s">
        <v>133</v>
      </c>
      <c r="E85" s="22" t="s">
        <v>126</v>
      </c>
      <c r="F85" s="25" t="s">
        <v>156</v>
      </c>
      <c r="G85" s="21">
        <f>G86</f>
        <v>37440</v>
      </c>
      <c r="H85" s="21">
        <f>H86</f>
        <v>37440</v>
      </c>
      <c r="K85" s="21">
        <f>K86</f>
        <v>37440</v>
      </c>
      <c r="L85" s="21">
        <f>L86</f>
        <v>37440</v>
      </c>
      <c r="M85" s="86"/>
    </row>
    <row r="86" spans="1:13" s="11" customFormat="1" ht="15.75">
      <c r="A86" s="15"/>
      <c r="B86" s="19" t="s">
        <v>167</v>
      </c>
      <c r="C86" s="22" t="s">
        <v>660</v>
      </c>
      <c r="D86" s="22" t="s">
        <v>133</v>
      </c>
      <c r="E86" s="22" t="s">
        <v>126</v>
      </c>
      <c r="F86" s="25" t="s">
        <v>166</v>
      </c>
      <c r="G86" s="21">
        <f>17940+19500</f>
        <v>37440</v>
      </c>
      <c r="H86" s="21">
        <f>G86</f>
        <v>37440</v>
      </c>
      <c r="K86" s="21">
        <f>17940+19500</f>
        <v>37440</v>
      </c>
      <c r="L86" s="21">
        <f>K86</f>
        <v>37440</v>
      </c>
      <c r="M86" s="86"/>
    </row>
    <row r="87" spans="1:13" s="11" customFormat="1" ht="126">
      <c r="A87" s="15"/>
      <c r="B87" s="19" t="s">
        <v>5</v>
      </c>
      <c r="C87" s="19" t="s">
        <v>345</v>
      </c>
      <c r="D87" s="22" t="s">
        <v>133</v>
      </c>
      <c r="E87" s="22" t="s">
        <v>126</v>
      </c>
      <c r="F87" s="25"/>
      <c r="G87" s="21">
        <f>G89</f>
        <v>1021449</v>
      </c>
      <c r="H87" s="21">
        <f>H89</f>
        <v>1021449</v>
      </c>
      <c r="K87" s="21">
        <f>K89</f>
        <v>1000097</v>
      </c>
      <c r="L87" s="21">
        <f>L89</f>
        <v>1000097</v>
      </c>
      <c r="M87" s="86"/>
    </row>
    <row r="88" spans="1:13" s="11" customFormat="1" ht="31.5">
      <c r="A88" s="15"/>
      <c r="B88" s="19" t="s">
        <v>157</v>
      </c>
      <c r="C88" s="19" t="s">
        <v>345</v>
      </c>
      <c r="D88" s="22" t="s">
        <v>133</v>
      </c>
      <c r="E88" s="22" t="s">
        <v>126</v>
      </c>
      <c r="F88" s="25" t="s">
        <v>156</v>
      </c>
      <c r="G88" s="21">
        <f>G89</f>
        <v>1021449</v>
      </c>
      <c r="H88" s="21">
        <f>H89</f>
        <v>1021449</v>
      </c>
      <c r="K88" s="21">
        <f>K89</f>
        <v>1000097</v>
      </c>
      <c r="L88" s="21">
        <f>L89</f>
        <v>1000097</v>
      </c>
      <c r="M88" s="86"/>
    </row>
    <row r="89" spans="1:13" s="11" customFormat="1" ht="15.75">
      <c r="A89" s="15"/>
      <c r="B89" s="14" t="s">
        <v>167</v>
      </c>
      <c r="C89" s="19" t="s">
        <v>345</v>
      </c>
      <c r="D89" s="22" t="s">
        <v>133</v>
      </c>
      <c r="E89" s="22" t="s">
        <v>126</v>
      </c>
      <c r="F89" s="25" t="s">
        <v>166</v>
      </c>
      <c r="G89" s="21">
        <f>1049676+3146-31373</f>
        <v>1021449</v>
      </c>
      <c r="H89" s="21">
        <f>G89</f>
        <v>1021449</v>
      </c>
      <c r="K89" s="21">
        <v>1000097</v>
      </c>
      <c r="L89" s="21">
        <f>K89</f>
        <v>1000097</v>
      </c>
      <c r="M89" s="86"/>
    </row>
    <row r="90" spans="1:13" s="11" customFormat="1" ht="66.75" customHeight="1">
      <c r="A90" s="15"/>
      <c r="B90" s="19" t="s">
        <v>589</v>
      </c>
      <c r="C90" s="19" t="s">
        <v>558</v>
      </c>
      <c r="D90" s="22" t="s">
        <v>133</v>
      </c>
      <c r="E90" s="22" t="s">
        <v>126</v>
      </c>
      <c r="F90" s="25"/>
      <c r="G90" s="21">
        <f>G91</f>
        <v>500</v>
      </c>
      <c r="H90" s="21">
        <f>H91</f>
        <v>500</v>
      </c>
      <c r="K90" s="21">
        <f>K91</f>
        <v>500</v>
      </c>
      <c r="L90" s="21">
        <f>L91</f>
        <v>500</v>
      </c>
      <c r="M90" s="86"/>
    </row>
    <row r="91" spans="1:13" s="11" customFormat="1" ht="31.5">
      <c r="A91" s="15"/>
      <c r="B91" s="19" t="s">
        <v>157</v>
      </c>
      <c r="C91" s="19" t="s">
        <v>558</v>
      </c>
      <c r="D91" s="22" t="s">
        <v>133</v>
      </c>
      <c r="E91" s="22" t="s">
        <v>126</v>
      </c>
      <c r="F91" s="25" t="s">
        <v>156</v>
      </c>
      <c r="G91" s="21">
        <f>G92</f>
        <v>500</v>
      </c>
      <c r="H91" s="21">
        <f>H92</f>
        <v>500</v>
      </c>
      <c r="K91" s="21">
        <f>K92</f>
        <v>500</v>
      </c>
      <c r="L91" s="21">
        <f>L92</f>
        <v>500</v>
      </c>
      <c r="M91" s="86"/>
    </row>
    <row r="92" spans="1:13" s="11" customFormat="1" ht="15.75">
      <c r="A92" s="15"/>
      <c r="B92" s="19" t="s">
        <v>167</v>
      </c>
      <c r="C92" s="19" t="s">
        <v>558</v>
      </c>
      <c r="D92" s="22" t="s">
        <v>133</v>
      </c>
      <c r="E92" s="22" t="s">
        <v>126</v>
      </c>
      <c r="F92" s="25" t="s">
        <v>166</v>
      </c>
      <c r="G92" s="21">
        <f>500</f>
        <v>500</v>
      </c>
      <c r="H92" s="21">
        <f>500</f>
        <v>500</v>
      </c>
      <c r="K92" s="21">
        <f>500</f>
        <v>500</v>
      </c>
      <c r="L92" s="21">
        <f>500</f>
        <v>500</v>
      </c>
      <c r="M92" s="86"/>
    </row>
    <row r="93" spans="1:13" s="11" customFormat="1" ht="78.75">
      <c r="A93" s="15"/>
      <c r="B93" s="19" t="s">
        <v>488</v>
      </c>
      <c r="C93" s="19" t="s">
        <v>616</v>
      </c>
      <c r="D93" s="22" t="s">
        <v>129</v>
      </c>
      <c r="E93" s="22" t="s">
        <v>134</v>
      </c>
      <c r="F93" s="25"/>
      <c r="G93" s="21">
        <f>G94</f>
        <v>972</v>
      </c>
      <c r="H93" s="21">
        <f>H94</f>
        <v>972</v>
      </c>
      <c r="K93" s="21">
        <f>K94</f>
        <v>972</v>
      </c>
      <c r="L93" s="21">
        <f>L94</f>
        <v>972</v>
      </c>
      <c r="M93" s="86"/>
    </row>
    <row r="94" spans="1:13" s="11" customFormat="1" ht="31.5">
      <c r="A94" s="15"/>
      <c r="B94" s="19" t="s">
        <v>157</v>
      </c>
      <c r="C94" s="19" t="s">
        <v>616</v>
      </c>
      <c r="D94" s="22" t="s">
        <v>129</v>
      </c>
      <c r="E94" s="22" t="s">
        <v>134</v>
      </c>
      <c r="F94" s="25" t="s">
        <v>156</v>
      </c>
      <c r="G94" s="21">
        <f>G95</f>
        <v>972</v>
      </c>
      <c r="H94" s="21">
        <f>H95</f>
        <v>972</v>
      </c>
      <c r="K94" s="21">
        <f>K95</f>
        <v>972</v>
      </c>
      <c r="L94" s="21">
        <f>L95</f>
        <v>972</v>
      </c>
      <c r="M94" s="86"/>
    </row>
    <row r="95" spans="1:13" s="11" customFormat="1" ht="15.75">
      <c r="A95" s="15"/>
      <c r="B95" s="19" t="s">
        <v>167</v>
      </c>
      <c r="C95" s="19" t="s">
        <v>616</v>
      </c>
      <c r="D95" s="22" t="s">
        <v>129</v>
      </c>
      <c r="E95" s="22" t="s">
        <v>134</v>
      </c>
      <c r="F95" s="25" t="s">
        <v>166</v>
      </c>
      <c r="G95" s="21">
        <f>1000-28</f>
        <v>972</v>
      </c>
      <c r="H95" s="21">
        <f>G95</f>
        <v>972</v>
      </c>
      <c r="K95" s="21">
        <f>1000-28</f>
        <v>972</v>
      </c>
      <c r="L95" s="21">
        <f>K95</f>
        <v>972</v>
      </c>
      <c r="M95" s="86"/>
    </row>
    <row r="96" spans="1:13" s="11" customFormat="1" ht="15.75">
      <c r="A96" s="15"/>
      <c r="B96" s="37" t="s">
        <v>46</v>
      </c>
      <c r="C96" s="43" t="s">
        <v>252</v>
      </c>
      <c r="D96" s="39"/>
      <c r="E96" s="39"/>
      <c r="F96" s="48"/>
      <c r="G96" s="47">
        <f>G100+G106+G103+G97+G109+G112</f>
        <v>607882.5</v>
      </c>
      <c r="H96" s="21"/>
      <c r="K96" s="47">
        <f>K100+K106+K103+K97+K109+K112</f>
        <v>607882.5</v>
      </c>
      <c r="L96" s="21"/>
      <c r="M96" s="86"/>
    </row>
    <row r="97" spans="1:13" s="11" customFormat="1" ht="78.75">
      <c r="A97" s="15"/>
      <c r="B97" s="19" t="s">
        <v>489</v>
      </c>
      <c r="C97" s="19" t="s">
        <v>616</v>
      </c>
      <c r="D97" s="22" t="s">
        <v>129</v>
      </c>
      <c r="E97" s="22" t="s">
        <v>134</v>
      </c>
      <c r="F97" s="48"/>
      <c r="G97" s="47">
        <f>G98</f>
        <v>2483.8</v>
      </c>
      <c r="H97" s="21"/>
      <c r="K97" s="47">
        <f>K98</f>
        <v>2483.8</v>
      </c>
      <c r="L97" s="21"/>
      <c r="M97" s="86"/>
    </row>
    <row r="98" spans="1:13" s="11" customFormat="1" ht="31.5">
      <c r="A98" s="15"/>
      <c r="B98" s="19" t="s">
        <v>157</v>
      </c>
      <c r="C98" s="19" t="s">
        <v>616</v>
      </c>
      <c r="D98" s="22" t="s">
        <v>129</v>
      </c>
      <c r="E98" s="22" t="s">
        <v>134</v>
      </c>
      <c r="F98" s="25" t="s">
        <v>156</v>
      </c>
      <c r="G98" s="47">
        <f>G99</f>
        <v>2483.8</v>
      </c>
      <c r="H98" s="21"/>
      <c r="K98" s="47">
        <f>K99</f>
        <v>2483.8</v>
      </c>
      <c r="L98" s="21"/>
      <c r="M98" s="86"/>
    </row>
    <row r="99" spans="1:13" s="11" customFormat="1" ht="15.75">
      <c r="A99" s="15"/>
      <c r="B99" s="19" t="s">
        <v>167</v>
      </c>
      <c r="C99" s="19" t="s">
        <v>616</v>
      </c>
      <c r="D99" s="22" t="s">
        <v>129</v>
      </c>
      <c r="E99" s="22" t="s">
        <v>134</v>
      </c>
      <c r="F99" s="25" t="s">
        <v>166</v>
      </c>
      <c r="G99" s="47">
        <f>2497.8-14</f>
        <v>2483.8</v>
      </c>
      <c r="H99" s="21"/>
      <c r="K99" s="47">
        <f>2497.8-14</f>
        <v>2483.8</v>
      </c>
      <c r="L99" s="21"/>
      <c r="M99" s="86"/>
    </row>
    <row r="100" spans="1:13" s="11" customFormat="1" ht="15.75">
      <c r="A100" s="15"/>
      <c r="B100" s="14" t="s">
        <v>174</v>
      </c>
      <c r="C100" s="19" t="s">
        <v>253</v>
      </c>
      <c r="D100" s="22" t="s">
        <v>133</v>
      </c>
      <c r="E100" s="22" t="s">
        <v>126</v>
      </c>
      <c r="F100" s="25"/>
      <c r="G100" s="21">
        <f>G101</f>
        <v>481850.7</v>
      </c>
      <c r="H100" s="21"/>
      <c r="K100" s="21">
        <f>K101</f>
        <v>481850.7</v>
      </c>
      <c r="L100" s="21"/>
      <c r="M100" s="86"/>
    </row>
    <row r="101" spans="1:13" s="11" customFormat="1" ht="31.5">
      <c r="A101" s="15"/>
      <c r="B101" s="19" t="s">
        <v>157</v>
      </c>
      <c r="C101" s="19" t="s">
        <v>253</v>
      </c>
      <c r="D101" s="22" t="s">
        <v>133</v>
      </c>
      <c r="E101" s="22" t="s">
        <v>126</v>
      </c>
      <c r="F101" s="25" t="s">
        <v>156</v>
      </c>
      <c r="G101" s="21">
        <f>G102</f>
        <v>481850.7</v>
      </c>
      <c r="H101" s="21"/>
      <c r="K101" s="21">
        <f>K102</f>
        <v>481850.7</v>
      </c>
      <c r="L101" s="21"/>
      <c r="M101" s="86"/>
    </row>
    <row r="102" spans="1:13" s="11" customFormat="1" ht="15.75">
      <c r="A102" s="15"/>
      <c r="B102" s="14" t="s">
        <v>167</v>
      </c>
      <c r="C102" s="19" t="s">
        <v>253</v>
      </c>
      <c r="D102" s="22" t="s">
        <v>133</v>
      </c>
      <c r="E102" s="22" t="s">
        <v>126</v>
      </c>
      <c r="F102" s="25" t="s">
        <v>166</v>
      </c>
      <c r="G102" s="21">
        <f>425723.3+876-791.6+55000+1287+22400+673.5-3317.5+17940-20000-17940</f>
        <v>481850.7</v>
      </c>
      <c r="H102" s="21"/>
      <c r="K102" s="21">
        <f>425723.3+876-791.6+55000+1287+22400+673.5-3317.5+17940-20000-17940</f>
        <v>481850.7</v>
      </c>
      <c r="L102" s="21"/>
      <c r="M102" s="86"/>
    </row>
    <row r="103" spans="1:13" s="11" customFormat="1" ht="15.75">
      <c r="A103" s="15"/>
      <c r="B103" s="14" t="s">
        <v>192</v>
      </c>
      <c r="C103" s="19" t="s">
        <v>254</v>
      </c>
      <c r="D103" s="22" t="s">
        <v>133</v>
      </c>
      <c r="E103" s="22" t="s">
        <v>126</v>
      </c>
      <c r="F103" s="25"/>
      <c r="G103" s="21">
        <f>G104</f>
        <v>188.9</v>
      </c>
      <c r="H103" s="21"/>
      <c r="K103" s="21">
        <f>K104</f>
        <v>188.9</v>
      </c>
      <c r="L103" s="21"/>
      <c r="M103" s="86"/>
    </row>
    <row r="104" spans="1:13" s="11" customFormat="1" ht="31.5">
      <c r="A104" s="15"/>
      <c r="B104" s="14" t="s">
        <v>157</v>
      </c>
      <c r="C104" s="19" t="s">
        <v>254</v>
      </c>
      <c r="D104" s="22" t="s">
        <v>133</v>
      </c>
      <c r="E104" s="22" t="s">
        <v>126</v>
      </c>
      <c r="F104" s="25" t="s">
        <v>156</v>
      </c>
      <c r="G104" s="21">
        <f>G105</f>
        <v>188.9</v>
      </c>
      <c r="H104" s="21"/>
      <c r="K104" s="21">
        <f>K105</f>
        <v>188.9</v>
      </c>
      <c r="L104" s="21"/>
      <c r="M104" s="86"/>
    </row>
    <row r="105" spans="1:13" s="11" customFormat="1" ht="15.75">
      <c r="A105" s="15"/>
      <c r="B105" s="14" t="s">
        <v>167</v>
      </c>
      <c r="C105" s="19" t="s">
        <v>254</v>
      </c>
      <c r="D105" s="22" t="s">
        <v>133</v>
      </c>
      <c r="E105" s="22" t="s">
        <v>126</v>
      </c>
      <c r="F105" s="25" t="s">
        <v>166</v>
      </c>
      <c r="G105" s="21">
        <f>375.8-50-120-16.9</f>
        <v>188.9</v>
      </c>
      <c r="H105" s="21"/>
      <c r="K105" s="21">
        <f>375.8-50-120-16.9</f>
        <v>188.9</v>
      </c>
      <c r="L105" s="21"/>
      <c r="M105" s="86"/>
    </row>
    <row r="106" spans="1:13" s="11" customFormat="1" ht="15.75">
      <c r="A106" s="15"/>
      <c r="B106" s="14" t="s">
        <v>177</v>
      </c>
      <c r="C106" s="19" t="s">
        <v>112</v>
      </c>
      <c r="D106" s="22" t="s">
        <v>133</v>
      </c>
      <c r="E106" s="22" t="s">
        <v>126</v>
      </c>
      <c r="F106" s="22"/>
      <c r="G106" s="21">
        <f>G107</f>
        <v>105517.5</v>
      </c>
      <c r="H106" s="21"/>
      <c r="K106" s="21">
        <f>K107</f>
        <v>105517.5</v>
      </c>
      <c r="L106" s="21"/>
      <c r="M106" s="86"/>
    </row>
    <row r="107" spans="1:13" s="11" customFormat="1" ht="31.5">
      <c r="A107" s="15"/>
      <c r="B107" s="19" t="s">
        <v>157</v>
      </c>
      <c r="C107" s="19" t="s">
        <v>112</v>
      </c>
      <c r="D107" s="22" t="s">
        <v>133</v>
      </c>
      <c r="E107" s="22" t="s">
        <v>126</v>
      </c>
      <c r="F107" s="22" t="s">
        <v>156</v>
      </c>
      <c r="G107" s="21">
        <f>G108</f>
        <v>105517.5</v>
      </c>
      <c r="H107" s="21"/>
      <c r="K107" s="21">
        <f>K108</f>
        <v>105517.5</v>
      </c>
      <c r="L107" s="21"/>
      <c r="M107" s="86"/>
    </row>
    <row r="108" spans="1:13" s="11" customFormat="1" ht="15.75">
      <c r="A108" s="15"/>
      <c r="B108" s="14" t="s">
        <v>167</v>
      </c>
      <c r="C108" s="19" t="s">
        <v>112</v>
      </c>
      <c r="D108" s="22" t="s">
        <v>133</v>
      </c>
      <c r="E108" s="22" t="s">
        <v>126</v>
      </c>
      <c r="F108" s="22" t="s">
        <v>166</v>
      </c>
      <c r="G108" s="21">
        <f>126780+2000+211.7-15000-1700-6275-1821.5+120-628.5+2013.2-182.4</f>
        <v>105517.5</v>
      </c>
      <c r="H108" s="21"/>
      <c r="K108" s="21">
        <f>126780+2000+211.7-15000-1700-6275-1821.5+120-628.5+2013.2-182.4</f>
        <v>105517.5</v>
      </c>
      <c r="L108" s="21"/>
      <c r="M108" s="86"/>
    </row>
    <row r="109" spans="1:13" s="11" customFormat="1" ht="31.5">
      <c r="A109" s="15"/>
      <c r="B109" s="73" t="s">
        <v>406</v>
      </c>
      <c r="C109" s="19" t="s">
        <v>407</v>
      </c>
      <c r="D109" s="22" t="s">
        <v>133</v>
      </c>
      <c r="E109" s="22" t="s">
        <v>126</v>
      </c>
      <c r="F109" s="22"/>
      <c r="G109" s="21">
        <f>G110</f>
        <v>17791.6</v>
      </c>
      <c r="H109" s="21"/>
      <c r="K109" s="21">
        <f>K110</f>
        <v>17791.6</v>
      </c>
      <c r="L109" s="21"/>
      <c r="M109" s="86"/>
    </row>
    <row r="110" spans="1:13" s="11" customFormat="1" ht="31.5">
      <c r="A110" s="15"/>
      <c r="B110" s="74" t="s">
        <v>157</v>
      </c>
      <c r="C110" s="19" t="s">
        <v>407</v>
      </c>
      <c r="D110" s="22" t="s">
        <v>133</v>
      </c>
      <c r="E110" s="22" t="s">
        <v>126</v>
      </c>
      <c r="F110" s="22" t="s">
        <v>156</v>
      </c>
      <c r="G110" s="21">
        <f>G111</f>
        <v>17791.6</v>
      </c>
      <c r="H110" s="21"/>
      <c r="K110" s="21">
        <f>K111</f>
        <v>17791.6</v>
      </c>
      <c r="L110" s="21"/>
      <c r="M110" s="86"/>
    </row>
    <row r="111" spans="1:13" s="11" customFormat="1" ht="15.75">
      <c r="A111" s="15"/>
      <c r="B111" s="73" t="s">
        <v>167</v>
      </c>
      <c r="C111" s="19" t="s">
        <v>407</v>
      </c>
      <c r="D111" s="22" t="s">
        <v>133</v>
      </c>
      <c r="E111" s="22" t="s">
        <v>126</v>
      </c>
      <c r="F111" s="22" t="s">
        <v>166</v>
      </c>
      <c r="G111" s="21">
        <f>300+791.6+15000+1700</f>
        <v>17791.6</v>
      </c>
      <c r="H111" s="21"/>
      <c r="K111" s="21">
        <f>300+791.6+15000+1700</f>
        <v>17791.6</v>
      </c>
      <c r="L111" s="21"/>
      <c r="M111" s="86"/>
    </row>
    <row r="112" spans="1:13" s="11" customFormat="1" ht="78.75">
      <c r="A112" s="15"/>
      <c r="B112" s="73" t="s">
        <v>557</v>
      </c>
      <c r="C112" s="19" t="s">
        <v>558</v>
      </c>
      <c r="D112" s="22" t="s">
        <v>133</v>
      </c>
      <c r="E112" s="22" t="s">
        <v>126</v>
      </c>
      <c r="F112" s="22"/>
      <c r="G112" s="21">
        <f>G113</f>
        <v>50</v>
      </c>
      <c r="H112" s="21"/>
      <c r="K112" s="21">
        <f>K113</f>
        <v>50</v>
      </c>
      <c r="L112" s="21"/>
      <c r="M112" s="86"/>
    </row>
    <row r="113" spans="1:13" s="11" customFormat="1" ht="31.5">
      <c r="A113" s="15"/>
      <c r="B113" s="73" t="s">
        <v>157</v>
      </c>
      <c r="C113" s="19" t="s">
        <v>558</v>
      </c>
      <c r="D113" s="22" t="s">
        <v>133</v>
      </c>
      <c r="E113" s="22" t="s">
        <v>126</v>
      </c>
      <c r="F113" s="22" t="s">
        <v>156</v>
      </c>
      <c r="G113" s="21">
        <f>G114</f>
        <v>50</v>
      </c>
      <c r="H113" s="21"/>
      <c r="K113" s="21">
        <f>K114</f>
        <v>50</v>
      </c>
      <c r="L113" s="21"/>
      <c r="M113" s="86"/>
    </row>
    <row r="114" spans="1:13" s="11" customFormat="1" ht="15.75">
      <c r="A114" s="15"/>
      <c r="B114" s="73" t="s">
        <v>167</v>
      </c>
      <c r="C114" s="19" t="s">
        <v>558</v>
      </c>
      <c r="D114" s="22" t="s">
        <v>133</v>
      </c>
      <c r="E114" s="22" t="s">
        <v>126</v>
      </c>
      <c r="F114" s="22" t="s">
        <v>166</v>
      </c>
      <c r="G114" s="21">
        <f>50</f>
        <v>50</v>
      </c>
      <c r="H114" s="21"/>
      <c r="K114" s="21">
        <f>50</f>
        <v>50</v>
      </c>
      <c r="L114" s="21"/>
      <c r="M114" s="86"/>
    </row>
    <row r="115" spans="1:13" s="11" customFormat="1" ht="15.75">
      <c r="A115" s="18"/>
      <c r="B115" s="19" t="s">
        <v>174</v>
      </c>
      <c r="C115" s="19" t="s">
        <v>73</v>
      </c>
      <c r="D115" s="22" t="s">
        <v>133</v>
      </c>
      <c r="E115" s="22" t="s">
        <v>125</v>
      </c>
      <c r="F115" s="19"/>
      <c r="G115" s="21">
        <f aca="true" t="shared" si="0" ref="G115:H117">G116</f>
        <v>3209</v>
      </c>
      <c r="H115" s="21">
        <f t="shared" si="0"/>
        <v>3209</v>
      </c>
      <c r="K115" s="21">
        <f aca="true" t="shared" si="1" ref="K115:L117">K116</f>
        <v>3208.9</v>
      </c>
      <c r="L115" s="21">
        <f t="shared" si="1"/>
        <v>3208.9</v>
      </c>
      <c r="M115" s="86"/>
    </row>
    <row r="116" spans="1:13" s="11" customFormat="1" ht="78.75">
      <c r="A116" s="18"/>
      <c r="B116" s="19" t="s">
        <v>201</v>
      </c>
      <c r="C116" s="19" t="s">
        <v>346</v>
      </c>
      <c r="D116" s="22" t="s">
        <v>133</v>
      </c>
      <c r="E116" s="22" t="s">
        <v>125</v>
      </c>
      <c r="F116" s="19"/>
      <c r="G116" s="21">
        <f t="shared" si="0"/>
        <v>3209</v>
      </c>
      <c r="H116" s="21">
        <f t="shared" si="0"/>
        <v>3209</v>
      </c>
      <c r="K116" s="21">
        <f t="shared" si="1"/>
        <v>3208.9</v>
      </c>
      <c r="L116" s="21">
        <f t="shared" si="1"/>
        <v>3208.9</v>
      </c>
      <c r="M116" s="86"/>
    </row>
    <row r="117" spans="1:13" s="11" customFormat="1" ht="63">
      <c r="A117" s="18"/>
      <c r="B117" s="18" t="s">
        <v>170</v>
      </c>
      <c r="C117" s="19" t="s">
        <v>346</v>
      </c>
      <c r="D117" s="22" t="s">
        <v>133</v>
      </c>
      <c r="E117" s="22" t="s">
        <v>125</v>
      </c>
      <c r="F117" s="19" t="s">
        <v>168</v>
      </c>
      <c r="G117" s="21">
        <f t="shared" si="0"/>
        <v>3209</v>
      </c>
      <c r="H117" s="21">
        <f t="shared" si="0"/>
        <v>3209</v>
      </c>
      <c r="K117" s="21">
        <f t="shared" si="1"/>
        <v>3208.9</v>
      </c>
      <c r="L117" s="21">
        <f t="shared" si="1"/>
        <v>3208.9</v>
      </c>
      <c r="M117" s="86"/>
    </row>
    <row r="118" spans="1:13" s="11" customFormat="1" ht="15.75">
      <c r="A118" s="18"/>
      <c r="B118" s="18" t="s">
        <v>189</v>
      </c>
      <c r="C118" s="19" t="s">
        <v>346</v>
      </c>
      <c r="D118" s="22" t="s">
        <v>133</v>
      </c>
      <c r="E118" s="22" t="s">
        <v>125</v>
      </c>
      <c r="F118" s="19" t="s">
        <v>190</v>
      </c>
      <c r="G118" s="21">
        <v>3209</v>
      </c>
      <c r="H118" s="21">
        <f>G118</f>
        <v>3209</v>
      </c>
      <c r="K118" s="21">
        <v>3208.9</v>
      </c>
      <c r="L118" s="21">
        <f>K118</f>
        <v>3208.9</v>
      </c>
      <c r="M118" s="86"/>
    </row>
    <row r="119" spans="1:13" s="11" customFormat="1" ht="78.75">
      <c r="A119" s="15"/>
      <c r="B119" s="24" t="s">
        <v>201</v>
      </c>
      <c r="C119" s="19" t="s">
        <v>346</v>
      </c>
      <c r="D119" s="22" t="s">
        <v>134</v>
      </c>
      <c r="E119" s="22" t="s">
        <v>129</v>
      </c>
      <c r="F119" s="24"/>
      <c r="G119" s="21">
        <f>G122+G120</f>
        <v>75548</v>
      </c>
      <c r="H119" s="21">
        <f>H122+H120</f>
        <v>75548</v>
      </c>
      <c r="K119" s="21">
        <f>K122+K120</f>
        <v>75353.59999999999</v>
      </c>
      <c r="L119" s="21">
        <f>L122+L120</f>
        <v>75353.59999999999</v>
      </c>
      <c r="M119" s="86"/>
    </row>
    <row r="120" spans="1:13" s="11" customFormat="1" ht="15.75">
      <c r="A120" s="15"/>
      <c r="B120" s="18" t="s">
        <v>159</v>
      </c>
      <c r="C120" s="19" t="s">
        <v>346</v>
      </c>
      <c r="D120" s="22" t="s">
        <v>134</v>
      </c>
      <c r="E120" s="22" t="s">
        <v>129</v>
      </c>
      <c r="F120" s="24" t="s">
        <v>158</v>
      </c>
      <c r="G120" s="21">
        <f>G121</f>
        <v>748</v>
      </c>
      <c r="H120" s="21">
        <f>H121</f>
        <v>748</v>
      </c>
      <c r="K120" s="21">
        <f>K121</f>
        <v>557.4</v>
      </c>
      <c r="L120" s="21">
        <f>L121</f>
        <v>557.4</v>
      </c>
      <c r="M120" s="86"/>
    </row>
    <row r="121" spans="1:13" s="11" customFormat="1" ht="31.5">
      <c r="A121" s="15"/>
      <c r="B121" s="18" t="s">
        <v>165</v>
      </c>
      <c r="C121" s="19" t="s">
        <v>346</v>
      </c>
      <c r="D121" s="22" t="s">
        <v>134</v>
      </c>
      <c r="E121" s="22" t="s">
        <v>129</v>
      </c>
      <c r="F121" s="24" t="s">
        <v>164</v>
      </c>
      <c r="G121" s="21">
        <v>748</v>
      </c>
      <c r="H121" s="21">
        <f>G121</f>
        <v>748</v>
      </c>
      <c r="K121" s="21">
        <v>557.4</v>
      </c>
      <c r="L121" s="21">
        <f>K121</f>
        <v>557.4</v>
      </c>
      <c r="M121" s="86"/>
    </row>
    <row r="122" spans="1:13" s="11" customFormat="1" ht="15.75">
      <c r="A122" s="15"/>
      <c r="B122" s="24" t="s">
        <v>162</v>
      </c>
      <c r="C122" s="19" t="s">
        <v>346</v>
      </c>
      <c r="D122" s="22" t="s">
        <v>134</v>
      </c>
      <c r="E122" s="22" t="s">
        <v>129</v>
      </c>
      <c r="F122" s="24" t="s">
        <v>160</v>
      </c>
      <c r="G122" s="21">
        <f>G123</f>
        <v>74800</v>
      </c>
      <c r="H122" s="21">
        <f>H123</f>
        <v>74800</v>
      </c>
      <c r="K122" s="21">
        <f>K123</f>
        <v>74796.2</v>
      </c>
      <c r="L122" s="21">
        <f>L123</f>
        <v>74796.2</v>
      </c>
      <c r="M122" s="86"/>
    </row>
    <row r="123" spans="1:13" s="11" customFormat="1" ht="31.5">
      <c r="A123" s="15"/>
      <c r="B123" s="14" t="s">
        <v>163</v>
      </c>
      <c r="C123" s="19" t="s">
        <v>346</v>
      </c>
      <c r="D123" s="22" t="s">
        <v>134</v>
      </c>
      <c r="E123" s="22" t="s">
        <v>129</v>
      </c>
      <c r="F123" s="24" t="s">
        <v>161</v>
      </c>
      <c r="G123" s="21">
        <f>83112-8312</f>
        <v>74800</v>
      </c>
      <c r="H123" s="21">
        <f>G123</f>
        <v>74800</v>
      </c>
      <c r="K123" s="21">
        <v>74796.2</v>
      </c>
      <c r="L123" s="21">
        <f>K123</f>
        <v>74796.2</v>
      </c>
      <c r="M123" s="86"/>
    </row>
    <row r="124" spans="1:13" s="11" customFormat="1" ht="15.75">
      <c r="A124" s="15"/>
      <c r="B124" s="18" t="s">
        <v>151</v>
      </c>
      <c r="C124" s="19" t="s">
        <v>113</v>
      </c>
      <c r="D124" s="22" t="s">
        <v>133</v>
      </c>
      <c r="E124" s="22" t="s">
        <v>150</v>
      </c>
      <c r="F124" s="22"/>
      <c r="G124" s="21">
        <f>G125</f>
        <v>3433058.6999999997</v>
      </c>
      <c r="H124" s="21">
        <f>H125</f>
        <v>2709335.4</v>
      </c>
      <c r="K124" s="21">
        <f>K125</f>
        <v>3208396.4000000004</v>
      </c>
      <c r="L124" s="21">
        <f>L125</f>
        <v>2520542.3000000003</v>
      </c>
      <c r="M124" s="86"/>
    </row>
    <row r="125" spans="1:13" s="11" customFormat="1" ht="15.75">
      <c r="A125" s="15"/>
      <c r="B125" s="49" t="s">
        <v>45</v>
      </c>
      <c r="C125" s="43" t="s">
        <v>113</v>
      </c>
      <c r="D125" s="39" t="s">
        <v>133</v>
      </c>
      <c r="E125" s="39" t="s">
        <v>150</v>
      </c>
      <c r="F125" s="39"/>
      <c r="G125" s="47">
        <f>G155+G158+G161+G165+G168+G126+G174+G198+G180+G171+G177+G186+G134+G183+G143+G152+G149+G137+G131+G140+G189+G192+G195+G146</f>
        <v>3433058.6999999997</v>
      </c>
      <c r="H125" s="47">
        <f>H155+H158+H161+H165+H168+H126+H174+H198+H180+H171+H177+H186+H134+H183+H143+H152+H149+H137+H131+H140+H189+H192+H195+H146</f>
        <v>2709335.4</v>
      </c>
      <c r="K125" s="47">
        <f>K155+K158+K161+K165+K168+K126+K174+K198+K180+K171+K177+K186+K134+K183+K143+K152+K149+K137+K131+K140+K189+K192+K195+K146</f>
        <v>3208396.4000000004</v>
      </c>
      <c r="L125" s="47">
        <f>L155+L158+L161+L165+L168+L126+L174+L198+L180+L171+L177+L186+L134+L183+L143+L152+L149+L137+L131+L140+L189+L192+L195+L146</f>
        <v>2520542.3000000003</v>
      </c>
      <c r="M125" s="86"/>
    </row>
    <row r="126" spans="1:13" s="11" customFormat="1" ht="63">
      <c r="A126" s="15"/>
      <c r="B126" s="18" t="s">
        <v>588</v>
      </c>
      <c r="C126" s="19" t="s">
        <v>347</v>
      </c>
      <c r="D126" s="22" t="s">
        <v>126</v>
      </c>
      <c r="E126" s="22" t="s">
        <v>221</v>
      </c>
      <c r="F126" s="22"/>
      <c r="G126" s="21">
        <f>G127+G129</f>
        <v>8588</v>
      </c>
      <c r="H126" s="21">
        <f>H127+H129</f>
        <v>8588</v>
      </c>
      <c r="K126" s="21">
        <f>K127+K129</f>
        <v>8588</v>
      </c>
      <c r="L126" s="21">
        <f>L127+L129</f>
        <v>8588</v>
      </c>
      <c r="M126" s="86"/>
    </row>
    <row r="127" spans="1:13" s="11" customFormat="1" ht="63">
      <c r="A127" s="15"/>
      <c r="B127" s="18" t="s">
        <v>170</v>
      </c>
      <c r="C127" s="19" t="s">
        <v>347</v>
      </c>
      <c r="D127" s="22" t="s">
        <v>126</v>
      </c>
      <c r="E127" s="22" t="s">
        <v>221</v>
      </c>
      <c r="F127" s="22" t="s">
        <v>168</v>
      </c>
      <c r="G127" s="21">
        <f>G128</f>
        <v>8542.8</v>
      </c>
      <c r="H127" s="21">
        <f>H128</f>
        <v>8542.8</v>
      </c>
      <c r="K127" s="21">
        <f>K128</f>
        <v>8542.8</v>
      </c>
      <c r="L127" s="21">
        <f>L128</f>
        <v>8542.8</v>
      </c>
      <c r="M127" s="86"/>
    </row>
    <row r="128" spans="1:13" s="11" customFormat="1" ht="15.75">
      <c r="A128" s="15"/>
      <c r="B128" s="18" t="s">
        <v>171</v>
      </c>
      <c r="C128" s="19" t="s">
        <v>347</v>
      </c>
      <c r="D128" s="22" t="s">
        <v>126</v>
      </c>
      <c r="E128" s="22" t="s">
        <v>221</v>
      </c>
      <c r="F128" s="22" t="s">
        <v>169</v>
      </c>
      <c r="G128" s="21">
        <f>8026+512+4.8</f>
        <v>8542.8</v>
      </c>
      <c r="H128" s="21">
        <f>G128</f>
        <v>8542.8</v>
      </c>
      <c r="K128" s="21">
        <f>8026+512+4.8</f>
        <v>8542.8</v>
      </c>
      <c r="L128" s="21">
        <f>K128</f>
        <v>8542.8</v>
      </c>
      <c r="M128" s="86"/>
    </row>
    <row r="129" spans="1:13" s="11" customFormat="1" ht="15.75">
      <c r="A129" s="15"/>
      <c r="B129" s="18" t="s">
        <v>159</v>
      </c>
      <c r="C129" s="19" t="s">
        <v>347</v>
      </c>
      <c r="D129" s="22" t="s">
        <v>126</v>
      </c>
      <c r="E129" s="22" t="s">
        <v>221</v>
      </c>
      <c r="F129" s="22" t="s">
        <v>158</v>
      </c>
      <c r="G129" s="21">
        <f>G130</f>
        <v>45.2</v>
      </c>
      <c r="H129" s="21">
        <f>H130</f>
        <v>45.2</v>
      </c>
      <c r="K129" s="21">
        <f>K130</f>
        <v>45.2</v>
      </c>
      <c r="L129" s="21">
        <f>L130</f>
        <v>45.2</v>
      </c>
      <c r="M129" s="86"/>
    </row>
    <row r="130" spans="1:13" s="11" customFormat="1" ht="31.5">
      <c r="A130" s="15"/>
      <c r="B130" s="18" t="s">
        <v>165</v>
      </c>
      <c r="C130" s="19" t="s">
        <v>347</v>
      </c>
      <c r="D130" s="22" t="s">
        <v>126</v>
      </c>
      <c r="E130" s="22" t="s">
        <v>221</v>
      </c>
      <c r="F130" s="22" t="s">
        <v>164</v>
      </c>
      <c r="G130" s="21">
        <f>50-4.8</f>
        <v>45.2</v>
      </c>
      <c r="H130" s="21">
        <f>G130</f>
        <v>45.2</v>
      </c>
      <c r="K130" s="21">
        <f>50-4.8</f>
        <v>45.2</v>
      </c>
      <c r="L130" s="21">
        <f>K130</f>
        <v>45.2</v>
      </c>
      <c r="M130" s="86"/>
    </row>
    <row r="131" spans="1:13" s="11" customFormat="1" ht="47.25">
      <c r="A131" s="15"/>
      <c r="B131" s="18" t="s">
        <v>572</v>
      </c>
      <c r="C131" s="19" t="s">
        <v>573</v>
      </c>
      <c r="D131" s="22" t="s">
        <v>129</v>
      </c>
      <c r="E131" s="22" t="s">
        <v>134</v>
      </c>
      <c r="F131" s="22"/>
      <c r="G131" s="21">
        <f>G132</f>
        <v>9256</v>
      </c>
      <c r="H131" s="21">
        <f>H132</f>
        <v>8623</v>
      </c>
      <c r="K131" s="21">
        <f>K132</f>
        <v>9256</v>
      </c>
      <c r="L131" s="21">
        <f>L132</f>
        <v>8623</v>
      </c>
      <c r="M131" s="86"/>
    </row>
    <row r="132" spans="1:13" s="11" customFormat="1" ht="31.5">
      <c r="A132" s="15"/>
      <c r="B132" s="18" t="s">
        <v>157</v>
      </c>
      <c r="C132" s="19" t="s">
        <v>573</v>
      </c>
      <c r="D132" s="22" t="s">
        <v>129</v>
      </c>
      <c r="E132" s="22" t="s">
        <v>134</v>
      </c>
      <c r="F132" s="22" t="s">
        <v>156</v>
      </c>
      <c r="G132" s="21">
        <f>G133</f>
        <v>9256</v>
      </c>
      <c r="H132" s="21">
        <f>H133</f>
        <v>8623</v>
      </c>
      <c r="K132" s="21">
        <f>K133</f>
        <v>9256</v>
      </c>
      <c r="L132" s="21">
        <f>L133</f>
        <v>8623</v>
      </c>
      <c r="M132" s="86"/>
    </row>
    <row r="133" spans="1:13" s="11" customFormat="1" ht="15.75">
      <c r="A133" s="15"/>
      <c r="B133" s="18" t="s">
        <v>167</v>
      </c>
      <c r="C133" s="19" t="s">
        <v>573</v>
      </c>
      <c r="D133" s="22" t="s">
        <v>129</v>
      </c>
      <c r="E133" s="22" t="s">
        <v>134</v>
      </c>
      <c r="F133" s="22" t="s">
        <v>166</v>
      </c>
      <c r="G133" s="21">
        <f>8623+633</f>
        <v>9256</v>
      </c>
      <c r="H133" s="21">
        <v>8623</v>
      </c>
      <c r="K133" s="21">
        <f>8623+633</f>
        <v>9256</v>
      </c>
      <c r="L133" s="21">
        <v>8623</v>
      </c>
      <c r="M133" s="86"/>
    </row>
    <row r="134" spans="1:13" s="11" customFormat="1" ht="78.75">
      <c r="A134" s="15"/>
      <c r="B134" s="19" t="s">
        <v>488</v>
      </c>
      <c r="C134" s="19" t="s">
        <v>615</v>
      </c>
      <c r="D134" s="22" t="s">
        <v>129</v>
      </c>
      <c r="E134" s="22" t="s">
        <v>134</v>
      </c>
      <c r="F134" s="25"/>
      <c r="G134" s="21">
        <f>G135</f>
        <v>2856.6</v>
      </c>
      <c r="H134" s="21">
        <f>H135</f>
        <v>2856.6</v>
      </c>
      <c r="K134" s="21">
        <f>K135</f>
        <v>2856.6</v>
      </c>
      <c r="L134" s="21">
        <f>L135</f>
        <v>2856.6</v>
      </c>
      <c r="M134" s="86"/>
    </row>
    <row r="135" spans="1:13" s="11" customFormat="1" ht="31.5">
      <c r="A135" s="15"/>
      <c r="B135" s="19" t="s">
        <v>157</v>
      </c>
      <c r="C135" s="19" t="s">
        <v>615</v>
      </c>
      <c r="D135" s="22" t="s">
        <v>129</v>
      </c>
      <c r="E135" s="22" t="s">
        <v>134</v>
      </c>
      <c r="F135" s="25" t="s">
        <v>156</v>
      </c>
      <c r="G135" s="21">
        <f>G136</f>
        <v>2856.6</v>
      </c>
      <c r="H135" s="21">
        <f>H136</f>
        <v>2856.6</v>
      </c>
      <c r="K135" s="21">
        <f>K136</f>
        <v>2856.6</v>
      </c>
      <c r="L135" s="21">
        <f>L136</f>
        <v>2856.6</v>
      </c>
      <c r="M135" s="86"/>
    </row>
    <row r="136" spans="1:13" s="11" customFormat="1" ht="15.75">
      <c r="A136" s="15"/>
      <c r="B136" s="19" t="s">
        <v>167</v>
      </c>
      <c r="C136" s="19" t="s">
        <v>615</v>
      </c>
      <c r="D136" s="22" t="s">
        <v>129</v>
      </c>
      <c r="E136" s="22" t="s">
        <v>134</v>
      </c>
      <c r="F136" s="25" t="s">
        <v>166</v>
      </c>
      <c r="G136" s="21">
        <f>2912-83.4+28</f>
        <v>2856.6</v>
      </c>
      <c r="H136" s="21">
        <f>G136</f>
        <v>2856.6</v>
      </c>
      <c r="K136" s="21">
        <f>2912-83.4+28</f>
        <v>2856.6</v>
      </c>
      <c r="L136" s="21">
        <f>K136</f>
        <v>2856.6</v>
      </c>
      <c r="M136" s="86"/>
    </row>
    <row r="137" spans="1:13" s="11" customFormat="1" ht="31.5">
      <c r="A137" s="15"/>
      <c r="B137" s="19" t="s">
        <v>571</v>
      </c>
      <c r="C137" s="19" t="s">
        <v>619</v>
      </c>
      <c r="D137" s="22" t="s">
        <v>129</v>
      </c>
      <c r="E137" s="22" t="s">
        <v>134</v>
      </c>
      <c r="F137" s="24"/>
      <c r="G137" s="21">
        <f>G138</f>
        <v>1758</v>
      </c>
      <c r="H137" s="21">
        <f>H138</f>
        <v>1758</v>
      </c>
      <c r="K137" s="21">
        <f>K138</f>
        <v>1305.1</v>
      </c>
      <c r="L137" s="21">
        <f>L138</f>
        <v>1305.1</v>
      </c>
      <c r="M137" s="86"/>
    </row>
    <row r="138" spans="1:13" s="11" customFormat="1" ht="31.5">
      <c r="A138" s="15"/>
      <c r="B138" s="19" t="s">
        <v>157</v>
      </c>
      <c r="C138" s="19" t="s">
        <v>619</v>
      </c>
      <c r="D138" s="22" t="s">
        <v>129</v>
      </c>
      <c r="E138" s="22" t="s">
        <v>134</v>
      </c>
      <c r="F138" s="24" t="s">
        <v>156</v>
      </c>
      <c r="G138" s="21">
        <f>G139</f>
        <v>1758</v>
      </c>
      <c r="H138" s="21">
        <f>H139</f>
        <v>1758</v>
      </c>
      <c r="K138" s="21">
        <f>K139</f>
        <v>1305.1</v>
      </c>
      <c r="L138" s="21">
        <f>L139</f>
        <v>1305.1</v>
      </c>
      <c r="M138" s="86"/>
    </row>
    <row r="139" spans="1:13" s="11" customFormat="1" ht="15.75">
      <c r="A139" s="15"/>
      <c r="B139" s="19" t="s">
        <v>167</v>
      </c>
      <c r="C139" s="19" t="s">
        <v>619</v>
      </c>
      <c r="D139" s="22" t="s">
        <v>129</v>
      </c>
      <c r="E139" s="22" t="s">
        <v>134</v>
      </c>
      <c r="F139" s="24" t="s">
        <v>166</v>
      </c>
      <c r="G139" s="21">
        <f>1758</f>
        <v>1758</v>
      </c>
      <c r="H139" s="21">
        <f>1758</f>
        <v>1758</v>
      </c>
      <c r="K139" s="21">
        <v>1305.1</v>
      </c>
      <c r="L139" s="21">
        <v>1305.1</v>
      </c>
      <c r="M139" s="86"/>
    </row>
    <row r="140" spans="1:13" s="11" customFormat="1" ht="47.25">
      <c r="A140" s="15"/>
      <c r="B140" s="19" t="s">
        <v>574</v>
      </c>
      <c r="C140" s="19" t="s">
        <v>620</v>
      </c>
      <c r="D140" s="22" t="s">
        <v>129</v>
      </c>
      <c r="E140" s="22" t="s">
        <v>134</v>
      </c>
      <c r="F140" s="24"/>
      <c r="G140" s="21">
        <f>G141</f>
        <v>10270</v>
      </c>
      <c r="H140" s="21">
        <f>H141</f>
        <v>10270</v>
      </c>
      <c r="K140" s="21">
        <f>K141</f>
        <v>10218.1</v>
      </c>
      <c r="L140" s="21">
        <f>L141</f>
        <v>10218.1</v>
      </c>
      <c r="M140" s="86"/>
    </row>
    <row r="141" spans="1:13" s="11" customFormat="1" ht="30.75" customHeight="1">
      <c r="A141" s="15"/>
      <c r="B141" s="19" t="s">
        <v>157</v>
      </c>
      <c r="C141" s="19" t="s">
        <v>620</v>
      </c>
      <c r="D141" s="22" t="s">
        <v>129</v>
      </c>
      <c r="E141" s="22" t="s">
        <v>134</v>
      </c>
      <c r="F141" s="24" t="s">
        <v>156</v>
      </c>
      <c r="G141" s="21">
        <f>G142</f>
        <v>10270</v>
      </c>
      <c r="H141" s="21">
        <f>H142</f>
        <v>10270</v>
      </c>
      <c r="K141" s="21">
        <f>K142</f>
        <v>10218.1</v>
      </c>
      <c r="L141" s="21">
        <f>L142</f>
        <v>10218.1</v>
      </c>
      <c r="M141" s="86"/>
    </row>
    <row r="142" spans="1:13" s="11" customFormat="1" ht="15.75">
      <c r="A142" s="15"/>
      <c r="B142" s="19" t="s">
        <v>167</v>
      </c>
      <c r="C142" s="19" t="s">
        <v>620</v>
      </c>
      <c r="D142" s="22" t="s">
        <v>129</v>
      </c>
      <c r="E142" s="22" t="s">
        <v>134</v>
      </c>
      <c r="F142" s="24" t="s">
        <v>166</v>
      </c>
      <c r="G142" s="21">
        <f>10270</f>
        <v>10270</v>
      </c>
      <c r="H142" s="21">
        <f>10270</f>
        <v>10270</v>
      </c>
      <c r="K142" s="21">
        <v>10218.1</v>
      </c>
      <c r="L142" s="21">
        <v>10218.1</v>
      </c>
      <c r="M142" s="86"/>
    </row>
    <row r="143" spans="1:13" s="11" customFormat="1" ht="47.25">
      <c r="A143" s="15"/>
      <c r="B143" s="19" t="s">
        <v>529</v>
      </c>
      <c r="C143" s="19" t="s">
        <v>553</v>
      </c>
      <c r="D143" s="22" t="s">
        <v>133</v>
      </c>
      <c r="E143" s="22" t="s">
        <v>150</v>
      </c>
      <c r="F143" s="25"/>
      <c r="G143" s="21">
        <f>G144</f>
        <v>1920</v>
      </c>
      <c r="H143" s="21">
        <f>H144</f>
        <v>1920</v>
      </c>
      <c r="K143" s="21">
        <f>K144</f>
        <v>1920</v>
      </c>
      <c r="L143" s="21">
        <f>L144</f>
        <v>1920</v>
      </c>
      <c r="M143" s="86"/>
    </row>
    <row r="144" spans="1:13" s="11" customFormat="1" ht="35.25" customHeight="1">
      <c r="A144" s="15"/>
      <c r="B144" s="19" t="s">
        <v>157</v>
      </c>
      <c r="C144" s="19" t="s">
        <v>553</v>
      </c>
      <c r="D144" s="22" t="s">
        <v>133</v>
      </c>
      <c r="E144" s="22" t="s">
        <v>150</v>
      </c>
      <c r="F144" s="25" t="s">
        <v>156</v>
      </c>
      <c r="G144" s="21">
        <f>G145</f>
        <v>1920</v>
      </c>
      <c r="H144" s="21">
        <f>H145</f>
        <v>1920</v>
      </c>
      <c r="K144" s="21">
        <f>K145</f>
        <v>1920</v>
      </c>
      <c r="L144" s="21">
        <f>L145</f>
        <v>1920</v>
      </c>
      <c r="M144" s="86"/>
    </row>
    <row r="145" spans="1:13" s="11" customFormat="1" ht="22.5" customHeight="1">
      <c r="A145" s="15"/>
      <c r="B145" s="19" t="s">
        <v>167</v>
      </c>
      <c r="C145" s="19" t="s">
        <v>553</v>
      </c>
      <c r="D145" s="22" t="s">
        <v>133</v>
      </c>
      <c r="E145" s="22" t="s">
        <v>150</v>
      </c>
      <c r="F145" s="25" t="s">
        <v>166</v>
      </c>
      <c r="G145" s="21">
        <f>1870+50</f>
        <v>1920</v>
      </c>
      <c r="H145" s="21">
        <f>G145</f>
        <v>1920</v>
      </c>
      <c r="K145" s="21">
        <f>1870+50</f>
        <v>1920</v>
      </c>
      <c r="L145" s="21">
        <f>K145</f>
        <v>1920</v>
      </c>
      <c r="M145" s="86"/>
    </row>
    <row r="146" spans="1:13" s="11" customFormat="1" ht="22.5" customHeight="1">
      <c r="A146" s="15"/>
      <c r="B146" s="19" t="s">
        <v>659</v>
      </c>
      <c r="C146" s="19" t="s">
        <v>665</v>
      </c>
      <c r="D146" s="22" t="s">
        <v>133</v>
      </c>
      <c r="E146" s="22" t="s">
        <v>150</v>
      </c>
      <c r="F146" s="25"/>
      <c r="G146" s="21">
        <f>G147</f>
        <v>21687</v>
      </c>
      <c r="H146" s="21">
        <f>H147</f>
        <v>21687</v>
      </c>
      <c r="K146" s="21">
        <f>K147</f>
        <v>21687</v>
      </c>
      <c r="L146" s="21">
        <f>L147</f>
        <v>21687</v>
      </c>
      <c r="M146" s="86"/>
    </row>
    <row r="147" spans="1:13" s="11" customFormat="1" ht="36.75" customHeight="1">
      <c r="A147" s="15"/>
      <c r="B147" s="19" t="s">
        <v>157</v>
      </c>
      <c r="C147" s="19" t="s">
        <v>665</v>
      </c>
      <c r="D147" s="22" t="s">
        <v>133</v>
      </c>
      <c r="E147" s="22" t="s">
        <v>150</v>
      </c>
      <c r="F147" s="25" t="s">
        <v>156</v>
      </c>
      <c r="G147" s="21">
        <f>G148</f>
        <v>21687</v>
      </c>
      <c r="H147" s="21">
        <f>H148</f>
        <v>21687</v>
      </c>
      <c r="K147" s="21">
        <f>K148</f>
        <v>21687</v>
      </c>
      <c r="L147" s="21">
        <f>L148</f>
        <v>21687</v>
      </c>
      <c r="M147" s="86"/>
    </row>
    <row r="148" spans="1:13" s="11" customFormat="1" ht="22.5" customHeight="1">
      <c r="A148" s="15"/>
      <c r="B148" s="19" t="s">
        <v>167</v>
      </c>
      <c r="C148" s="19" t="s">
        <v>665</v>
      </c>
      <c r="D148" s="22" t="s">
        <v>133</v>
      </c>
      <c r="E148" s="22" t="s">
        <v>150</v>
      </c>
      <c r="F148" s="25" t="s">
        <v>166</v>
      </c>
      <c r="G148" s="21">
        <f>41187-19500</f>
        <v>21687</v>
      </c>
      <c r="H148" s="21">
        <f>G148</f>
        <v>21687</v>
      </c>
      <c r="K148" s="21">
        <f>41187-19500</f>
        <v>21687</v>
      </c>
      <c r="L148" s="21">
        <f>K148</f>
        <v>21687</v>
      </c>
      <c r="M148" s="86"/>
    </row>
    <row r="149" spans="1:13" s="11" customFormat="1" ht="49.5" customHeight="1">
      <c r="A149" s="15"/>
      <c r="B149" s="19" t="s">
        <v>560</v>
      </c>
      <c r="C149" s="19" t="s">
        <v>556</v>
      </c>
      <c r="D149" s="22" t="s">
        <v>133</v>
      </c>
      <c r="E149" s="22" t="s">
        <v>150</v>
      </c>
      <c r="F149" s="25"/>
      <c r="G149" s="21">
        <f>G150</f>
        <v>4935.7</v>
      </c>
      <c r="H149" s="21">
        <f>H150</f>
        <v>4815.3</v>
      </c>
      <c r="K149" s="21">
        <f>K150</f>
        <v>4935.7</v>
      </c>
      <c r="L149" s="21">
        <f>L150</f>
        <v>4815.3</v>
      </c>
      <c r="M149" s="86"/>
    </row>
    <row r="150" spans="1:13" s="11" customFormat="1" ht="33" customHeight="1">
      <c r="A150" s="15"/>
      <c r="B150" s="19" t="s">
        <v>157</v>
      </c>
      <c r="C150" s="19" t="s">
        <v>556</v>
      </c>
      <c r="D150" s="22" t="s">
        <v>133</v>
      </c>
      <c r="E150" s="22" t="s">
        <v>150</v>
      </c>
      <c r="F150" s="25" t="s">
        <v>156</v>
      </c>
      <c r="G150" s="21">
        <f>G151</f>
        <v>4935.7</v>
      </c>
      <c r="H150" s="21">
        <f>H151</f>
        <v>4815.3</v>
      </c>
      <c r="K150" s="21">
        <f>K151</f>
        <v>4935.7</v>
      </c>
      <c r="L150" s="21">
        <f>L151</f>
        <v>4815.3</v>
      </c>
      <c r="M150" s="86"/>
    </row>
    <row r="151" spans="1:13" s="11" customFormat="1" ht="22.5" customHeight="1">
      <c r="A151" s="15"/>
      <c r="B151" s="19" t="s">
        <v>167</v>
      </c>
      <c r="C151" s="19" t="s">
        <v>556</v>
      </c>
      <c r="D151" s="22" t="s">
        <v>133</v>
      </c>
      <c r="E151" s="22" t="s">
        <v>150</v>
      </c>
      <c r="F151" s="25" t="s">
        <v>166</v>
      </c>
      <c r="G151" s="21">
        <f>1203.8+3611.5+120.4</f>
        <v>4935.7</v>
      </c>
      <c r="H151" s="21">
        <v>4815.3</v>
      </c>
      <c r="K151" s="21">
        <f>1203.8+3611.5+120.4</f>
        <v>4935.7</v>
      </c>
      <c r="L151" s="21">
        <v>4815.3</v>
      </c>
      <c r="M151" s="86"/>
    </row>
    <row r="152" spans="1:13" s="11" customFormat="1" ht="33.75" customHeight="1">
      <c r="A152" s="15"/>
      <c r="B152" s="19" t="s">
        <v>561</v>
      </c>
      <c r="C152" s="19" t="s">
        <v>555</v>
      </c>
      <c r="D152" s="22" t="s">
        <v>133</v>
      </c>
      <c r="E152" s="22" t="s">
        <v>150</v>
      </c>
      <c r="F152" s="25"/>
      <c r="G152" s="21">
        <f>G153</f>
        <v>4246.8</v>
      </c>
      <c r="H152" s="21">
        <f>H153</f>
        <v>4143.2</v>
      </c>
      <c r="K152" s="21">
        <f>K153</f>
        <v>4246.8</v>
      </c>
      <c r="L152" s="21">
        <f>L153</f>
        <v>4143.2</v>
      </c>
      <c r="M152" s="86"/>
    </row>
    <row r="153" spans="1:13" s="11" customFormat="1" ht="29.25" customHeight="1">
      <c r="A153" s="15"/>
      <c r="B153" s="19" t="s">
        <v>157</v>
      </c>
      <c r="C153" s="19" t="s">
        <v>555</v>
      </c>
      <c r="D153" s="22" t="s">
        <v>133</v>
      </c>
      <c r="E153" s="22" t="s">
        <v>150</v>
      </c>
      <c r="F153" s="25" t="s">
        <v>156</v>
      </c>
      <c r="G153" s="21">
        <f>G154</f>
        <v>4246.8</v>
      </c>
      <c r="H153" s="21">
        <f>H154</f>
        <v>4143.2</v>
      </c>
      <c r="K153" s="21">
        <f>K154</f>
        <v>4246.8</v>
      </c>
      <c r="L153" s="21">
        <f>L154</f>
        <v>4143.2</v>
      </c>
      <c r="M153" s="86"/>
    </row>
    <row r="154" spans="1:13" s="11" customFormat="1" ht="22.5" customHeight="1">
      <c r="A154" s="15"/>
      <c r="B154" s="19" t="s">
        <v>167</v>
      </c>
      <c r="C154" s="19" t="s">
        <v>555</v>
      </c>
      <c r="D154" s="22" t="s">
        <v>133</v>
      </c>
      <c r="E154" s="22" t="s">
        <v>150</v>
      </c>
      <c r="F154" s="25" t="s">
        <v>166</v>
      </c>
      <c r="G154" s="21">
        <f>3107.4+1035.8+103.6</f>
        <v>4246.8</v>
      </c>
      <c r="H154" s="21">
        <v>4143.2</v>
      </c>
      <c r="K154" s="21">
        <f>3107.4+1035.8+103.6</f>
        <v>4246.8</v>
      </c>
      <c r="L154" s="21">
        <v>4143.2</v>
      </c>
      <c r="M154" s="86"/>
    </row>
    <row r="155" spans="1:13" s="11" customFormat="1" ht="153" customHeight="1">
      <c r="A155" s="15"/>
      <c r="B155" s="14" t="s">
        <v>4</v>
      </c>
      <c r="C155" s="19" t="s">
        <v>348</v>
      </c>
      <c r="D155" s="22" t="s">
        <v>133</v>
      </c>
      <c r="E155" s="22" t="s">
        <v>150</v>
      </c>
      <c r="F155" s="24"/>
      <c r="G155" s="21">
        <f>G156</f>
        <v>1806489</v>
      </c>
      <c r="H155" s="21">
        <f>H156</f>
        <v>1806489</v>
      </c>
      <c r="K155" s="21">
        <f>K156</f>
        <v>1802653.7</v>
      </c>
      <c r="L155" s="21">
        <f>L156</f>
        <v>1802653.7</v>
      </c>
      <c r="M155" s="86"/>
    </row>
    <row r="156" spans="1:13" s="11" customFormat="1" ht="31.5">
      <c r="A156" s="15"/>
      <c r="B156" s="19" t="s">
        <v>157</v>
      </c>
      <c r="C156" s="19" t="s">
        <v>348</v>
      </c>
      <c r="D156" s="22" t="s">
        <v>133</v>
      </c>
      <c r="E156" s="22" t="s">
        <v>150</v>
      </c>
      <c r="F156" s="24" t="s">
        <v>156</v>
      </c>
      <c r="G156" s="21">
        <f>G157</f>
        <v>1806489</v>
      </c>
      <c r="H156" s="21">
        <f>H157</f>
        <v>1806489</v>
      </c>
      <c r="K156" s="21">
        <f>K157</f>
        <v>1802653.7</v>
      </c>
      <c r="L156" s="21">
        <f>L157</f>
        <v>1802653.7</v>
      </c>
      <c r="M156" s="86"/>
    </row>
    <row r="157" spans="1:13" s="11" customFormat="1" ht="15.75">
      <c r="A157" s="15"/>
      <c r="B157" s="14" t="s">
        <v>167</v>
      </c>
      <c r="C157" s="19" t="s">
        <v>348</v>
      </c>
      <c r="D157" s="22" t="s">
        <v>133</v>
      </c>
      <c r="E157" s="22" t="s">
        <v>150</v>
      </c>
      <c r="F157" s="24" t="s">
        <v>166</v>
      </c>
      <c r="G157" s="21">
        <f>1763075-3286+649-8987+13721+41317</f>
        <v>1806489</v>
      </c>
      <c r="H157" s="21">
        <f>G157</f>
        <v>1806489</v>
      </c>
      <c r="K157" s="21">
        <v>1802653.7</v>
      </c>
      <c r="L157" s="21">
        <f>K157</f>
        <v>1802653.7</v>
      </c>
      <c r="M157" s="86"/>
    </row>
    <row r="158" spans="1:13" s="11" customFormat="1" ht="63">
      <c r="A158" s="15"/>
      <c r="B158" s="18" t="s">
        <v>193</v>
      </c>
      <c r="C158" s="19" t="s">
        <v>349</v>
      </c>
      <c r="D158" s="22" t="s">
        <v>133</v>
      </c>
      <c r="E158" s="22" t="s">
        <v>150</v>
      </c>
      <c r="F158" s="22"/>
      <c r="G158" s="21">
        <f>G160</f>
        <v>34801</v>
      </c>
      <c r="H158" s="21">
        <f>H160</f>
        <v>34801</v>
      </c>
      <c r="K158" s="21">
        <f>K160</f>
        <v>30316</v>
      </c>
      <c r="L158" s="21">
        <f>L160</f>
        <v>30316</v>
      </c>
      <c r="M158" s="86"/>
    </row>
    <row r="159" spans="1:13" s="11" customFormat="1" ht="31.5">
      <c r="A159" s="15"/>
      <c r="B159" s="18" t="s">
        <v>157</v>
      </c>
      <c r="C159" s="19" t="s">
        <v>349</v>
      </c>
      <c r="D159" s="22" t="s">
        <v>133</v>
      </c>
      <c r="E159" s="22" t="s">
        <v>150</v>
      </c>
      <c r="F159" s="22">
        <v>600</v>
      </c>
      <c r="G159" s="21">
        <f>G160</f>
        <v>34801</v>
      </c>
      <c r="H159" s="21">
        <f>H160</f>
        <v>34801</v>
      </c>
      <c r="K159" s="21">
        <f>K160</f>
        <v>30316</v>
      </c>
      <c r="L159" s="21">
        <f>L160</f>
        <v>30316</v>
      </c>
      <c r="M159" s="86"/>
    </row>
    <row r="160" spans="1:13" s="11" customFormat="1" ht="31.5">
      <c r="A160" s="15"/>
      <c r="B160" s="18" t="s">
        <v>194</v>
      </c>
      <c r="C160" s="19" t="s">
        <v>349</v>
      </c>
      <c r="D160" s="22" t="s">
        <v>133</v>
      </c>
      <c r="E160" s="22" t="s">
        <v>150</v>
      </c>
      <c r="F160" s="22">
        <v>630</v>
      </c>
      <c r="G160" s="21">
        <f>44349-9548</f>
        <v>34801</v>
      </c>
      <c r="H160" s="21">
        <f>G160</f>
        <v>34801</v>
      </c>
      <c r="K160" s="21">
        <v>30316</v>
      </c>
      <c r="L160" s="21">
        <f>K160</f>
        <v>30316</v>
      </c>
      <c r="M160" s="86"/>
    </row>
    <row r="161" spans="1:13" s="11" customFormat="1" ht="110.25">
      <c r="A161" s="15"/>
      <c r="B161" s="18" t="s">
        <v>3</v>
      </c>
      <c r="C161" s="19" t="s">
        <v>350</v>
      </c>
      <c r="D161" s="22" t="s">
        <v>133</v>
      </c>
      <c r="E161" s="22" t="s">
        <v>150</v>
      </c>
      <c r="F161" s="22"/>
      <c r="G161" s="21">
        <f>G162</f>
        <v>120461.49999999999</v>
      </c>
      <c r="H161" s="21">
        <f>H162</f>
        <v>120461.49999999999</v>
      </c>
      <c r="K161" s="21">
        <f>K162</f>
        <v>120461.2</v>
      </c>
      <c r="L161" s="21">
        <f>L162</f>
        <v>120461.2</v>
      </c>
      <c r="M161" s="86"/>
    </row>
    <row r="162" spans="1:13" s="11" customFormat="1" ht="31.5">
      <c r="A162" s="15"/>
      <c r="B162" s="19" t="s">
        <v>157</v>
      </c>
      <c r="C162" s="19" t="s">
        <v>350</v>
      </c>
      <c r="D162" s="22" t="s">
        <v>133</v>
      </c>
      <c r="E162" s="22" t="s">
        <v>150</v>
      </c>
      <c r="F162" s="24" t="s">
        <v>156</v>
      </c>
      <c r="G162" s="21">
        <f>G163+G164</f>
        <v>120461.49999999999</v>
      </c>
      <c r="H162" s="21">
        <f>H163+H164</f>
        <v>120461.49999999999</v>
      </c>
      <c r="K162" s="21">
        <f>K163+K164</f>
        <v>120461.2</v>
      </c>
      <c r="L162" s="21">
        <f>L163+L164</f>
        <v>120461.2</v>
      </c>
      <c r="M162" s="86"/>
    </row>
    <row r="163" spans="1:13" s="11" customFormat="1" ht="15.75">
      <c r="A163" s="15"/>
      <c r="B163" s="14" t="s">
        <v>167</v>
      </c>
      <c r="C163" s="19" t="s">
        <v>350</v>
      </c>
      <c r="D163" s="22" t="s">
        <v>133</v>
      </c>
      <c r="E163" s="22" t="s">
        <v>150</v>
      </c>
      <c r="F163" s="24" t="s">
        <v>166</v>
      </c>
      <c r="G163" s="21">
        <f>116791.4-30-343-342.5+2076-89.3</f>
        <v>118062.59999999999</v>
      </c>
      <c r="H163" s="21">
        <f>G163</f>
        <v>118062.59999999999</v>
      </c>
      <c r="K163" s="21">
        <v>118062.3</v>
      </c>
      <c r="L163" s="21">
        <f>K163</f>
        <v>118062.3</v>
      </c>
      <c r="M163" s="86"/>
    </row>
    <row r="164" spans="1:13" s="11" customFormat="1" ht="31.5">
      <c r="A164" s="15"/>
      <c r="B164" s="18" t="s">
        <v>194</v>
      </c>
      <c r="C164" s="19" t="s">
        <v>350</v>
      </c>
      <c r="D164" s="22" t="s">
        <v>133</v>
      </c>
      <c r="E164" s="22" t="s">
        <v>150</v>
      </c>
      <c r="F164" s="24" t="s">
        <v>195</v>
      </c>
      <c r="G164" s="21">
        <f>2279.6+30+89.3</f>
        <v>2398.9</v>
      </c>
      <c r="H164" s="21">
        <f>G164</f>
        <v>2398.9</v>
      </c>
      <c r="K164" s="21">
        <f>2279.6+30+89.3</f>
        <v>2398.9</v>
      </c>
      <c r="L164" s="21">
        <f>K164</f>
        <v>2398.9</v>
      </c>
      <c r="M164" s="86"/>
    </row>
    <row r="165" spans="1:13" s="11" customFormat="1" ht="63">
      <c r="A165" s="15"/>
      <c r="B165" s="18" t="s">
        <v>196</v>
      </c>
      <c r="C165" s="19" t="s">
        <v>351</v>
      </c>
      <c r="D165" s="22" t="s">
        <v>133</v>
      </c>
      <c r="E165" s="22" t="s">
        <v>150</v>
      </c>
      <c r="F165" s="22"/>
      <c r="G165" s="21">
        <f>G166</f>
        <v>516</v>
      </c>
      <c r="H165" s="21">
        <f>H166</f>
        <v>516</v>
      </c>
      <c r="K165" s="21">
        <f>K166</f>
        <v>313.8</v>
      </c>
      <c r="L165" s="21">
        <f>L166</f>
        <v>313.8</v>
      </c>
      <c r="M165" s="86"/>
    </row>
    <row r="166" spans="1:13" s="11" customFormat="1" ht="31.5">
      <c r="A166" s="15"/>
      <c r="B166" s="19" t="s">
        <v>157</v>
      </c>
      <c r="C166" s="19" t="s">
        <v>351</v>
      </c>
      <c r="D166" s="22" t="s">
        <v>133</v>
      </c>
      <c r="E166" s="22" t="s">
        <v>150</v>
      </c>
      <c r="F166" s="24" t="s">
        <v>156</v>
      </c>
      <c r="G166" s="21">
        <f>G167</f>
        <v>516</v>
      </c>
      <c r="H166" s="21">
        <f>H167</f>
        <v>516</v>
      </c>
      <c r="K166" s="21">
        <f>K167</f>
        <v>313.8</v>
      </c>
      <c r="L166" s="21">
        <f>L167</f>
        <v>313.8</v>
      </c>
      <c r="M166" s="86"/>
    </row>
    <row r="167" spans="1:13" s="11" customFormat="1" ht="15.75">
      <c r="A167" s="15"/>
      <c r="B167" s="14" t="s">
        <v>167</v>
      </c>
      <c r="C167" s="19" t="s">
        <v>351</v>
      </c>
      <c r="D167" s="22" t="s">
        <v>133</v>
      </c>
      <c r="E167" s="22" t="s">
        <v>150</v>
      </c>
      <c r="F167" s="24" t="s">
        <v>166</v>
      </c>
      <c r="G167" s="21">
        <f>1266-750</f>
        <v>516</v>
      </c>
      <c r="H167" s="21">
        <f>G167</f>
        <v>516</v>
      </c>
      <c r="K167" s="21">
        <v>313.8</v>
      </c>
      <c r="L167" s="21">
        <f>K167</f>
        <v>313.8</v>
      </c>
      <c r="M167" s="86"/>
    </row>
    <row r="168" spans="1:13" s="11" customFormat="1" ht="78.75">
      <c r="A168" s="15"/>
      <c r="B168" s="18" t="s">
        <v>197</v>
      </c>
      <c r="C168" s="19" t="s">
        <v>352</v>
      </c>
      <c r="D168" s="22" t="s">
        <v>133</v>
      </c>
      <c r="E168" s="22" t="s">
        <v>150</v>
      </c>
      <c r="F168" s="22"/>
      <c r="G168" s="21">
        <f>G169</f>
        <v>12974</v>
      </c>
      <c r="H168" s="21">
        <f>H169</f>
        <v>12974</v>
      </c>
      <c r="K168" s="21">
        <f>K169</f>
        <v>9752.2</v>
      </c>
      <c r="L168" s="21">
        <f>L169</f>
        <v>9752.2</v>
      </c>
      <c r="M168" s="86"/>
    </row>
    <row r="169" spans="1:13" s="11" customFormat="1" ht="31.5">
      <c r="A169" s="15"/>
      <c r="B169" s="19" t="s">
        <v>157</v>
      </c>
      <c r="C169" s="19" t="s">
        <v>352</v>
      </c>
      <c r="D169" s="22" t="s">
        <v>133</v>
      </c>
      <c r="E169" s="22" t="s">
        <v>150</v>
      </c>
      <c r="F169" s="24" t="s">
        <v>156</v>
      </c>
      <c r="G169" s="21">
        <f>G170</f>
        <v>12974</v>
      </c>
      <c r="H169" s="21">
        <f>H170</f>
        <v>12974</v>
      </c>
      <c r="K169" s="21">
        <f>K170</f>
        <v>9752.2</v>
      </c>
      <c r="L169" s="21">
        <f>L170</f>
        <v>9752.2</v>
      </c>
      <c r="M169" s="86"/>
    </row>
    <row r="170" spans="1:13" s="11" customFormat="1" ht="31.5">
      <c r="A170" s="15"/>
      <c r="B170" s="18" t="s">
        <v>194</v>
      </c>
      <c r="C170" s="19" t="s">
        <v>352</v>
      </c>
      <c r="D170" s="22" t="s">
        <v>133</v>
      </c>
      <c r="E170" s="22" t="s">
        <v>150</v>
      </c>
      <c r="F170" s="24" t="s">
        <v>195</v>
      </c>
      <c r="G170" s="21">
        <f>12974</f>
        <v>12974</v>
      </c>
      <c r="H170" s="21">
        <f>G170</f>
        <v>12974</v>
      </c>
      <c r="K170" s="21">
        <v>9752.2</v>
      </c>
      <c r="L170" s="21">
        <f>K170</f>
        <v>9752.2</v>
      </c>
      <c r="M170" s="86"/>
    </row>
    <row r="171" spans="1:13" s="11" customFormat="1" ht="63">
      <c r="A171" s="15"/>
      <c r="B171" s="18" t="s">
        <v>359</v>
      </c>
      <c r="C171" s="19" t="s">
        <v>99</v>
      </c>
      <c r="D171" s="22" t="s">
        <v>133</v>
      </c>
      <c r="E171" s="22" t="s">
        <v>150</v>
      </c>
      <c r="F171" s="24"/>
      <c r="G171" s="21">
        <f>G172</f>
        <v>1680</v>
      </c>
      <c r="H171" s="21">
        <f>H172</f>
        <v>1680</v>
      </c>
      <c r="K171" s="21">
        <f>K172</f>
        <v>0</v>
      </c>
      <c r="L171" s="21">
        <f>L172</f>
        <v>0</v>
      </c>
      <c r="M171" s="86"/>
    </row>
    <row r="172" spans="1:13" s="11" customFormat="1" ht="31.5">
      <c r="A172" s="15"/>
      <c r="B172" s="18" t="s">
        <v>157</v>
      </c>
      <c r="C172" s="19" t="s">
        <v>99</v>
      </c>
      <c r="D172" s="22" t="s">
        <v>133</v>
      </c>
      <c r="E172" s="22" t="s">
        <v>150</v>
      </c>
      <c r="F172" s="24" t="s">
        <v>156</v>
      </c>
      <c r="G172" s="21">
        <f>G173</f>
        <v>1680</v>
      </c>
      <c r="H172" s="21">
        <f>H173</f>
        <v>1680</v>
      </c>
      <c r="K172" s="21">
        <f>K173</f>
        <v>0</v>
      </c>
      <c r="L172" s="21">
        <f>L173</f>
        <v>0</v>
      </c>
      <c r="M172" s="86"/>
    </row>
    <row r="173" spans="1:13" s="11" customFormat="1" ht="15.75">
      <c r="A173" s="15"/>
      <c r="B173" s="18" t="s">
        <v>167</v>
      </c>
      <c r="C173" s="19" t="s">
        <v>99</v>
      </c>
      <c r="D173" s="22" t="s">
        <v>133</v>
      </c>
      <c r="E173" s="22" t="s">
        <v>150</v>
      </c>
      <c r="F173" s="24" t="s">
        <v>166</v>
      </c>
      <c r="G173" s="21">
        <v>1680</v>
      </c>
      <c r="H173" s="21">
        <v>1680</v>
      </c>
      <c r="K173" s="21">
        <v>0</v>
      </c>
      <c r="L173" s="21">
        <v>0</v>
      </c>
      <c r="M173" s="86"/>
    </row>
    <row r="174" spans="1:13" s="11" customFormat="1" ht="63">
      <c r="A174" s="15"/>
      <c r="B174" s="18" t="s">
        <v>8</v>
      </c>
      <c r="C174" s="19" t="s">
        <v>100</v>
      </c>
      <c r="D174" s="22" t="s">
        <v>133</v>
      </c>
      <c r="E174" s="22" t="s">
        <v>150</v>
      </c>
      <c r="F174" s="19"/>
      <c r="G174" s="21">
        <f>G175</f>
        <v>2087</v>
      </c>
      <c r="H174" s="21">
        <f>G174</f>
        <v>2087</v>
      </c>
      <c r="K174" s="21">
        <f>K175</f>
        <v>2087</v>
      </c>
      <c r="L174" s="21">
        <f>K174</f>
        <v>2087</v>
      </c>
      <c r="M174" s="86"/>
    </row>
    <row r="175" spans="1:13" s="11" customFormat="1" ht="31.5">
      <c r="A175" s="15"/>
      <c r="B175" s="18" t="s">
        <v>157</v>
      </c>
      <c r="C175" s="19" t="s">
        <v>100</v>
      </c>
      <c r="D175" s="22" t="s">
        <v>133</v>
      </c>
      <c r="E175" s="22" t="s">
        <v>150</v>
      </c>
      <c r="F175" s="19" t="s">
        <v>156</v>
      </c>
      <c r="G175" s="21">
        <f>G176</f>
        <v>2087</v>
      </c>
      <c r="H175" s="21">
        <f>H176</f>
        <v>2087</v>
      </c>
      <c r="K175" s="21">
        <f>K176</f>
        <v>2087</v>
      </c>
      <c r="L175" s="21">
        <f>L176</f>
        <v>2087</v>
      </c>
      <c r="M175" s="86"/>
    </row>
    <row r="176" spans="1:13" s="11" customFormat="1" ht="15.75">
      <c r="A176" s="15"/>
      <c r="B176" s="18" t="s">
        <v>167</v>
      </c>
      <c r="C176" s="19" t="s">
        <v>100</v>
      </c>
      <c r="D176" s="22" t="s">
        <v>133</v>
      </c>
      <c r="E176" s="22" t="s">
        <v>150</v>
      </c>
      <c r="F176" s="19" t="s">
        <v>166</v>
      </c>
      <c r="G176" s="21">
        <v>2087</v>
      </c>
      <c r="H176" s="21">
        <f>G176</f>
        <v>2087</v>
      </c>
      <c r="K176" s="21">
        <v>2087</v>
      </c>
      <c r="L176" s="21">
        <f>K176</f>
        <v>2087</v>
      </c>
      <c r="M176" s="86"/>
    </row>
    <row r="177" spans="1:13" s="11" customFormat="1" ht="21" customHeight="1">
      <c r="A177" s="15"/>
      <c r="B177" s="18" t="s">
        <v>413</v>
      </c>
      <c r="C177" s="19" t="s">
        <v>618</v>
      </c>
      <c r="D177" s="22" t="s">
        <v>133</v>
      </c>
      <c r="E177" s="22" t="s">
        <v>150</v>
      </c>
      <c r="F177" s="19"/>
      <c r="G177" s="21">
        <f>G178</f>
        <v>18050</v>
      </c>
      <c r="H177" s="21">
        <f>H178</f>
        <v>18050</v>
      </c>
      <c r="K177" s="21">
        <f>K178</f>
        <v>0</v>
      </c>
      <c r="L177" s="21">
        <f>L178</f>
        <v>0</v>
      </c>
      <c r="M177" s="86"/>
    </row>
    <row r="178" spans="1:13" s="11" customFormat="1" ht="35.25" customHeight="1">
      <c r="A178" s="15"/>
      <c r="B178" s="18" t="s">
        <v>53</v>
      </c>
      <c r="C178" s="19" t="s">
        <v>618</v>
      </c>
      <c r="D178" s="22" t="s">
        <v>133</v>
      </c>
      <c r="E178" s="22" t="s">
        <v>150</v>
      </c>
      <c r="F178" s="19" t="s">
        <v>218</v>
      </c>
      <c r="G178" s="21">
        <f>G179</f>
        <v>18050</v>
      </c>
      <c r="H178" s="21">
        <f>H179</f>
        <v>18050</v>
      </c>
      <c r="K178" s="21">
        <f>K179</f>
        <v>0</v>
      </c>
      <c r="L178" s="21">
        <f>L179</f>
        <v>0</v>
      </c>
      <c r="M178" s="86"/>
    </row>
    <row r="179" spans="1:13" s="11" customFormat="1" ht="110.25">
      <c r="A179" s="15"/>
      <c r="B179" s="18" t="s">
        <v>242</v>
      </c>
      <c r="C179" s="19" t="s">
        <v>618</v>
      </c>
      <c r="D179" s="22" t="s">
        <v>133</v>
      </c>
      <c r="E179" s="22" t="s">
        <v>150</v>
      </c>
      <c r="F179" s="19" t="s">
        <v>243</v>
      </c>
      <c r="G179" s="21">
        <f>14250+3800</f>
        <v>18050</v>
      </c>
      <c r="H179" s="21">
        <f>G179</f>
        <v>18050</v>
      </c>
      <c r="K179" s="21">
        <v>0</v>
      </c>
      <c r="L179" s="21">
        <f>K179</f>
        <v>0</v>
      </c>
      <c r="M179" s="86"/>
    </row>
    <row r="180" spans="1:13" s="11" customFormat="1" ht="45" customHeight="1">
      <c r="A180" s="15"/>
      <c r="B180" s="14" t="s">
        <v>525</v>
      </c>
      <c r="C180" s="19" t="s">
        <v>617</v>
      </c>
      <c r="D180" s="22" t="s">
        <v>133</v>
      </c>
      <c r="E180" s="22" t="s">
        <v>150</v>
      </c>
      <c r="F180" s="19"/>
      <c r="G180" s="21">
        <f>G181</f>
        <v>627539.9</v>
      </c>
      <c r="H180" s="21">
        <f>H181</f>
        <v>627539.9</v>
      </c>
      <c r="K180" s="21">
        <f>K181</f>
        <v>480645</v>
      </c>
      <c r="L180" s="21">
        <f>L181</f>
        <v>480645</v>
      </c>
      <c r="M180" s="86"/>
    </row>
    <row r="181" spans="1:13" s="11" customFormat="1" ht="31.5">
      <c r="A181" s="15"/>
      <c r="B181" s="14" t="s">
        <v>33</v>
      </c>
      <c r="C181" s="19" t="s">
        <v>617</v>
      </c>
      <c r="D181" s="22" t="s">
        <v>133</v>
      </c>
      <c r="E181" s="22" t="s">
        <v>150</v>
      </c>
      <c r="F181" s="19" t="s">
        <v>218</v>
      </c>
      <c r="G181" s="21">
        <f>G182</f>
        <v>627539.9</v>
      </c>
      <c r="H181" s="21">
        <f>H182</f>
        <v>627539.9</v>
      </c>
      <c r="K181" s="21">
        <f>K182</f>
        <v>480645</v>
      </c>
      <c r="L181" s="21">
        <f>L182</f>
        <v>480645</v>
      </c>
      <c r="M181" s="86"/>
    </row>
    <row r="182" spans="1:13" s="11" customFormat="1" ht="110.25">
      <c r="A182" s="15"/>
      <c r="B182" s="18" t="s">
        <v>242</v>
      </c>
      <c r="C182" s="19" t="s">
        <v>617</v>
      </c>
      <c r="D182" s="22" t="s">
        <v>133</v>
      </c>
      <c r="E182" s="22" t="s">
        <v>150</v>
      </c>
      <c r="F182" s="19" t="s">
        <v>243</v>
      </c>
      <c r="G182" s="21">
        <f>522657.2-95000+199882.7</f>
        <v>627539.9</v>
      </c>
      <c r="H182" s="21">
        <f>G182</f>
        <v>627539.9</v>
      </c>
      <c r="K182" s="21">
        <v>480645</v>
      </c>
      <c r="L182" s="21">
        <f>K182</f>
        <v>480645</v>
      </c>
      <c r="M182" s="86"/>
    </row>
    <row r="183" spans="1:13" s="11" customFormat="1" ht="47.25">
      <c r="A183" s="15"/>
      <c r="B183" s="14" t="s">
        <v>526</v>
      </c>
      <c r="C183" s="19" t="s">
        <v>617</v>
      </c>
      <c r="D183" s="22" t="s">
        <v>133</v>
      </c>
      <c r="E183" s="22" t="s">
        <v>150</v>
      </c>
      <c r="F183" s="19"/>
      <c r="G183" s="21">
        <f>G184</f>
        <v>9918</v>
      </c>
      <c r="H183" s="21">
        <f>H184</f>
        <v>9918</v>
      </c>
      <c r="K183" s="21">
        <f>K184</f>
        <v>0</v>
      </c>
      <c r="L183" s="21">
        <f>L184</f>
        <v>0</v>
      </c>
      <c r="M183" s="86"/>
    </row>
    <row r="184" spans="1:13" s="11" customFormat="1" ht="31.5">
      <c r="A184" s="15"/>
      <c r="B184" s="14" t="s">
        <v>33</v>
      </c>
      <c r="C184" s="19" t="s">
        <v>617</v>
      </c>
      <c r="D184" s="22" t="s">
        <v>133</v>
      </c>
      <c r="E184" s="22" t="s">
        <v>150</v>
      </c>
      <c r="F184" s="19" t="s">
        <v>218</v>
      </c>
      <c r="G184" s="21">
        <f>G185</f>
        <v>9918</v>
      </c>
      <c r="H184" s="21">
        <f>H185</f>
        <v>9918</v>
      </c>
      <c r="K184" s="21">
        <f>K185</f>
        <v>0</v>
      </c>
      <c r="L184" s="21">
        <f>L185</f>
        <v>0</v>
      </c>
      <c r="M184" s="86"/>
    </row>
    <row r="185" spans="1:13" s="11" customFormat="1" ht="110.25">
      <c r="A185" s="15"/>
      <c r="B185" s="18" t="s">
        <v>242</v>
      </c>
      <c r="C185" s="19" t="s">
        <v>617</v>
      </c>
      <c r="D185" s="22" t="s">
        <v>133</v>
      </c>
      <c r="E185" s="22" t="s">
        <v>150</v>
      </c>
      <c r="F185" s="19" t="s">
        <v>243</v>
      </c>
      <c r="G185" s="21">
        <f>95000-85984+902</f>
        <v>9918</v>
      </c>
      <c r="H185" s="21">
        <f>G185</f>
        <v>9918</v>
      </c>
      <c r="K185" s="21">
        <v>0</v>
      </c>
      <c r="L185" s="21">
        <f>K185</f>
        <v>0</v>
      </c>
      <c r="M185" s="86"/>
    </row>
    <row r="186" spans="1:13" s="11" customFormat="1" ht="35.25" customHeight="1">
      <c r="A186" s="15"/>
      <c r="B186" s="18" t="s">
        <v>441</v>
      </c>
      <c r="C186" s="19" t="s">
        <v>597</v>
      </c>
      <c r="D186" s="22" t="s">
        <v>133</v>
      </c>
      <c r="E186" s="22" t="s">
        <v>150</v>
      </c>
      <c r="F186" s="19"/>
      <c r="G186" s="21">
        <f>G187</f>
        <v>745</v>
      </c>
      <c r="H186" s="21">
        <f>H187</f>
        <v>745</v>
      </c>
      <c r="K186" s="21">
        <f>K187</f>
        <v>744.2</v>
      </c>
      <c r="L186" s="21">
        <f>L187</f>
        <v>744.2</v>
      </c>
      <c r="M186" s="86"/>
    </row>
    <row r="187" spans="1:13" s="11" customFormat="1" ht="34.5" customHeight="1">
      <c r="A187" s="15"/>
      <c r="B187" s="18" t="s">
        <v>157</v>
      </c>
      <c r="C187" s="19" t="s">
        <v>597</v>
      </c>
      <c r="D187" s="22" t="s">
        <v>133</v>
      </c>
      <c r="E187" s="22" t="s">
        <v>150</v>
      </c>
      <c r="F187" s="19" t="s">
        <v>156</v>
      </c>
      <c r="G187" s="21">
        <f>G188</f>
        <v>745</v>
      </c>
      <c r="H187" s="21">
        <f>H188</f>
        <v>745</v>
      </c>
      <c r="K187" s="21">
        <f>K188</f>
        <v>744.2</v>
      </c>
      <c r="L187" s="21">
        <f>L188</f>
        <v>744.2</v>
      </c>
      <c r="M187" s="86"/>
    </row>
    <row r="188" spans="1:13" s="11" customFormat="1" ht="18.75" customHeight="1">
      <c r="A188" s="15"/>
      <c r="B188" s="18" t="s">
        <v>167</v>
      </c>
      <c r="C188" s="19" t="s">
        <v>597</v>
      </c>
      <c r="D188" s="22" t="s">
        <v>133</v>
      </c>
      <c r="E188" s="22" t="s">
        <v>150</v>
      </c>
      <c r="F188" s="19" t="s">
        <v>166</v>
      </c>
      <c r="G188" s="21">
        <f>382+362.2+0.8</f>
        <v>745</v>
      </c>
      <c r="H188" s="21">
        <f>G188</f>
        <v>745</v>
      </c>
      <c r="K188" s="21">
        <v>744.2</v>
      </c>
      <c r="L188" s="21">
        <f>K188</f>
        <v>744.2</v>
      </c>
      <c r="M188" s="86"/>
    </row>
    <row r="189" spans="1:13" s="11" customFormat="1" ht="150.75" customHeight="1">
      <c r="A189" s="15"/>
      <c r="B189" s="57" t="s">
        <v>631</v>
      </c>
      <c r="C189" s="22" t="s">
        <v>348</v>
      </c>
      <c r="D189" s="22" t="s">
        <v>402</v>
      </c>
      <c r="E189" s="22" t="s">
        <v>127</v>
      </c>
      <c r="F189" s="22"/>
      <c r="G189" s="21">
        <f>G190</f>
        <v>8987</v>
      </c>
      <c r="H189" s="21">
        <f>H190</f>
        <v>8987</v>
      </c>
      <c r="K189" s="21">
        <f>K190</f>
        <v>8987</v>
      </c>
      <c r="L189" s="21">
        <f>L190</f>
        <v>8987</v>
      </c>
      <c r="M189" s="86"/>
    </row>
    <row r="190" spans="1:13" s="11" customFormat="1" ht="18.75" customHeight="1">
      <c r="A190" s="15"/>
      <c r="B190" s="57" t="s">
        <v>632</v>
      </c>
      <c r="C190" s="22" t="s">
        <v>348</v>
      </c>
      <c r="D190" s="22" t="s">
        <v>402</v>
      </c>
      <c r="E190" s="22" t="s">
        <v>127</v>
      </c>
      <c r="F190" s="22" t="s">
        <v>633</v>
      </c>
      <c r="G190" s="21">
        <f>G191</f>
        <v>8987</v>
      </c>
      <c r="H190" s="21">
        <f>H191</f>
        <v>8987</v>
      </c>
      <c r="K190" s="21">
        <f>K191</f>
        <v>8987</v>
      </c>
      <c r="L190" s="21">
        <f>L191</f>
        <v>8987</v>
      </c>
      <c r="M190" s="86"/>
    </row>
    <row r="191" spans="1:13" s="11" customFormat="1" ht="18.75" customHeight="1">
      <c r="A191" s="15"/>
      <c r="B191" s="57" t="s">
        <v>634</v>
      </c>
      <c r="C191" s="22" t="s">
        <v>348</v>
      </c>
      <c r="D191" s="22" t="s">
        <v>402</v>
      </c>
      <c r="E191" s="22" t="s">
        <v>127</v>
      </c>
      <c r="F191" s="22" t="s">
        <v>635</v>
      </c>
      <c r="G191" s="21">
        <v>8987</v>
      </c>
      <c r="H191" s="21">
        <v>8987</v>
      </c>
      <c r="K191" s="21">
        <v>8987</v>
      </c>
      <c r="L191" s="21">
        <v>8987</v>
      </c>
      <c r="M191" s="86"/>
    </row>
    <row r="192" spans="1:13" s="11" customFormat="1" ht="100.5" customHeight="1">
      <c r="A192" s="15"/>
      <c r="B192" s="57" t="s">
        <v>3</v>
      </c>
      <c r="C192" s="22" t="s">
        <v>350</v>
      </c>
      <c r="D192" s="22" t="s">
        <v>402</v>
      </c>
      <c r="E192" s="22" t="s">
        <v>127</v>
      </c>
      <c r="F192" s="22"/>
      <c r="G192" s="21">
        <f>G193</f>
        <v>342.5</v>
      </c>
      <c r="H192" s="21">
        <f>H193</f>
        <v>342.5</v>
      </c>
      <c r="K192" s="21">
        <f>K193</f>
        <v>342.5</v>
      </c>
      <c r="L192" s="21">
        <f>L193</f>
        <v>342.5</v>
      </c>
      <c r="M192" s="86"/>
    </row>
    <row r="193" spans="1:13" s="11" customFormat="1" ht="18.75" customHeight="1">
      <c r="A193" s="15"/>
      <c r="B193" s="57" t="s">
        <v>632</v>
      </c>
      <c r="C193" s="22" t="s">
        <v>350</v>
      </c>
      <c r="D193" s="22" t="s">
        <v>402</v>
      </c>
      <c r="E193" s="22" t="s">
        <v>127</v>
      </c>
      <c r="F193" s="22" t="s">
        <v>633</v>
      </c>
      <c r="G193" s="21">
        <f>G194</f>
        <v>342.5</v>
      </c>
      <c r="H193" s="21">
        <f>H194</f>
        <v>342.5</v>
      </c>
      <c r="K193" s="21">
        <f>K194</f>
        <v>342.5</v>
      </c>
      <c r="L193" s="21">
        <f>L194</f>
        <v>342.5</v>
      </c>
      <c r="M193" s="86"/>
    </row>
    <row r="194" spans="1:13" s="11" customFormat="1" ht="18.75" customHeight="1">
      <c r="A194" s="15"/>
      <c r="B194" s="57" t="s">
        <v>634</v>
      </c>
      <c r="C194" s="22" t="s">
        <v>350</v>
      </c>
      <c r="D194" s="22" t="s">
        <v>402</v>
      </c>
      <c r="E194" s="22" t="s">
        <v>127</v>
      </c>
      <c r="F194" s="22" t="s">
        <v>635</v>
      </c>
      <c r="G194" s="21">
        <v>342.5</v>
      </c>
      <c r="H194" s="21">
        <v>342.5</v>
      </c>
      <c r="K194" s="21">
        <v>342.5</v>
      </c>
      <c r="L194" s="21">
        <v>342.5</v>
      </c>
      <c r="M194" s="86"/>
    </row>
    <row r="195" spans="1:13" s="11" customFormat="1" ht="78" customHeight="1">
      <c r="A195" s="15"/>
      <c r="B195" s="57" t="s">
        <v>488</v>
      </c>
      <c r="C195" s="22" t="s">
        <v>615</v>
      </c>
      <c r="D195" s="22" t="s">
        <v>402</v>
      </c>
      <c r="E195" s="22" t="s">
        <v>127</v>
      </c>
      <c r="F195" s="22"/>
      <c r="G195" s="21">
        <f>G196</f>
        <v>83.4</v>
      </c>
      <c r="H195" s="21">
        <f>H196</f>
        <v>83.4</v>
      </c>
      <c r="K195" s="21">
        <f>K196</f>
        <v>83.4</v>
      </c>
      <c r="L195" s="21">
        <f>L196</f>
        <v>83.4</v>
      </c>
      <c r="M195" s="86"/>
    </row>
    <row r="196" spans="1:13" s="11" customFormat="1" ht="18.75" customHeight="1">
      <c r="A196" s="15"/>
      <c r="B196" s="57" t="s">
        <v>632</v>
      </c>
      <c r="C196" s="22" t="s">
        <v>615</v>
      </c>
      <c r="D196" s="22" t="s">
        <v>402</v>
      </c>
      <c r="E196" s="22" t="s">
        <v>127</v>
      </c>
      <c r="F196" s="22" t="s">
        <v>633</v>
      </c>
      <c r="G196" s="21">
        <f>G197</f>
        <v>83.4</v>
      </c>
      <c r="H196" s="21">
        <f>H197</f>
        <v>83.4</v>
      </c>
      <c r="K196" s="21">
        <f>K197</f>
        <v>83.4</v>
      </c>
      <c r="L196" s="21">
        <f>L197</f>
        <v>83.4</v>
      </c>
      <c r="M196" s="86"/>
    </row>
    <row r="197" spans="1:13" s="11" customFormat="1" ht="18.75" customHeight="1">
      <c r="A197" s="15"/>
      <c r="B197" s="57" t="s">
        <v>634</v>
      </c>
      <c r="C197" s="22" t="s">
        <v>615</v>
      </c>
      <c r="D197" s="22" t="s">
        <v>402</v>
      </c>
      <c r="E197" s="22" t="s">
        <v>127</v>
      </c>
      <c r="F197" s="22" t="s">
        <v>635</v>
      </c>
      <c r="G197" s="21">
        <v>83.4</v>
      </c>
      <c r="H197" s="21">
        <v>83.4</v>
      </c>
      <c r="K197" s="21">
        <v>83.4</v>
      </c>
      <c r="L197" s="21">
        <v>83.4</v>
      </c>
      <c r="M197" s="86"/>
    </row>
    <row r="198" spans="1:13" s="11" customFormat="1" ht="15.75">
      <c r="A198" s="18"/>
      <c r="B198" s="49" t="s">
        <v>45</v>
      </c>
      <c r="C198" s="43" t="s">
        <v>113</v>
      </c>
      <c r="D198" s="39" t="s">
        <v>133</v>
      </c>
      <c r="E198" s="39" t="s">
        <v>150</v>
      </c>
      <c r="F198" s="39"/>
      <c r="G198" s="47">
        <f>G199</f>
        <v>722866.3</v>
      </c>
      <c r="H198" s="21"/>
      <c r="K198" s="47">
        <f>K199</f>
        <v>686997.1000000001</v>
      </c>
      <c r="L198" s="21"/>
      <c r="M198" s="86"/>
    </row>
    <row r="199" spans="1:13" s="11" customFormat="1" ht="15.75">
      <c r="A199" s="18"/>
      <c r="B199" s="18" t="s">
        <v>151</v>
      </c>
      <c r="C199" s="19" t="s">
        <v>113</v>
      </c>
      <c r="D199" s="22" t="s">
        <v>133</v>
      </c>
      <c r="E199" s="22" t="s">
        <v>150</v>
      </c>
      <c r="F199" s="22"/>
      <c r="G199" s="21">
        <f>G200</f>
        <v>722866.3</v>
      </c>
      <c r="H199" s="21"/>
      <c r="K199" s="21">
        <f>K200</f>
        <v>686997.1000000001</v>
      </c>
      <c r="L199" s="21"/>
      <c r="M199" s="86"/>
    </row>
    <row r="200" spans="1:13" s="11" customFormat="1" ht="15.75">
      <c r="A200" s="18"/>
      <c r="B200" s="18" t="s">
        <v>114</v>
      </c>
      <c r="C200" s="19" t="s">
        <v>113</v>
      </c>
      <c r="D200" s="22" t="s">
        <v>133</v>
      </c>
      <c r="E200" s="22" t="s">
        <v>150</v>
      </c>
      <c r="F200" s="22"/>
      <c r="G200" s="21">
        <f>G204+G210+G225+G228+G231+G238+G201+G244+G207+G250+G213+G241+G222+G216+G219+G247+G253+G256+G259+G262</f>
        <v>722866.3</v>
      </c>
      <c r="H200" s="21">
        <f>H204+H210+H225+H228+H231+H238+H201+H244+H207+H250+H213+H241+H222</f>
        <v>0</v>
      </c>
      <c r="K200" s="21">
        <f>K204+K210+K225+K228+K231+K238+K201+K244+K207+K250+K213+K241+K222+K216+K219+K247+K253+K256+K259+K262</f>
        <v>686997.1000000001</v>
      </c>
      <c r="L200" s="21">
        <f>L204+L210+L225+L228+L231+L238+L201+L244+L207+L250+L213+L241+L222</f>
        <v>0</v>
      </c>
      <c r="M200" s="86"/>
    </row>
    <row r="201" spans="1:13" s="11" customFormat="1" ht="63">
      <c r="A201" s="18"/>
      <c r="B201" s="18" t="s">
        <v>358</v>
      </c>
      <c r="C201" s="24" t="s">
        <v>99</v>
      </c>
      <c r="D201" s="22" t="s">
        <v>133</v>
      </c>
      <c r="E201" s="22" t="s">
        <v>150</v>
      </c>
      <c r="F201" s="24"/>
      <c r="G201" s="21">
        <f>G202</f>
        <v>420</v>
      </c>
      <c r="H201" s="21"/>
      <c r="K201" s="21">
        <f>K202</f>
        <v>0</v>
      </c>
      <c r="L201" s="21"/>
      <c r="M201" s="86"/>
    </row>
    <row r="202" spans="1:13" s="11" customFormat="1" ht="31.5">
      <c r="A202" s="18"/>
      <c r="B202" s="18" t="s">
        <v>157</v>
      </c>
      <c r="C202" s="24" t="s">
        <v>99</v>
      </c>
      <c r="D202" s="22" t="s">
        <v>133</v>
      </c>
      <c r="E202" s="22" t="s">
        <v>150</v>
      </c>
      <c r="F202" s="24" t="s">
        <v>156</v>
      </c>
      <c r="G202" s="21">
        <f>G203</f>
        <v>420</v>
      </c>
      <c r="H202" s="21"/>
      <c r="K202" s="21">
        <f>K203</f>
        <v>0</v>
      </c>
      <c r="L202" s="21"/>
      <c r="M202" s="86"/>
    </row>
    <row r="203" spans="1:13" s="11" customFormat="1" ht="15.75">
      <c r="A203" s="18"/>
      <c r="B203" s="18" t="s">
        <v>167</v>
      </c>
      <c r="C203" s="24" t="s">
        <v>99</v>
      </c>
      <c r="D203" s="22" t="s">
        <v>133</v>
      </c>
      <c r="E203" s="22" t="s">
        <v>150</v>
      </c>
      <c r="F203" s="24" t="s">
        <v>166</v>
      </c>
      <c r="G203" s="21">
        <v>420</v>
      </c>
      <c r="H203" s="21"/>
      <c r="K203" s="21">
        <v>0</v>
      </c>
      <c r="L203" s="21"/>
      <c r="M203" s="86"/>
    </row>
    <row r="204" spans="1:13" s="11" customFormat="1" ht="63">
      <c r="A204" s="18"/>
      <c r="B204" s="18" t="s">
        <v>450</v>
      </c>
      <c r="C204" s="24" t="s">
        <v>100</v>
      </c>
      <c r="D204" s="22" t="s">
        <v>133</v>
      </c>
      <c r="E204" s="22" t="s">
        <v>150</v>
      </c>
      <c r="F204" s="24"/>
      <c r="G204" s="21">
        <f>G205</f>
        <v>2087</v>
      </c>
      <c r="H204" s="21"/>
      <c r="K204" s="21">
        <f>K205</f>
        <v>2087</v>
      </c>
      <c r="L204" s="21"/>
      <c r="M204" s="86"/>
    </row>
    <row r="205" spans="1:13" s="11" customFormat="1" ht="31.5">
      <c r="A205" s="18"/>
      <c r="B205" s="18" t="s">
        <v>157</v>
      </c>
      <c r="C205" s="24" t="s">
        <v>100</v>
      </c>
      <c r="D205" s="22" t="s">
        <v>133</v>
      </c>
      <c r="E205" s="22" t="s">
        <v>150</v>
      </c>
      <c r="F205" s="24" t="s">
        <v>156</v>
      </c>
      <c r="G205" s="21">
        <f>G206</f>
        <v>2087</v>
      </c>
      <c r="H205" s="21"/>
      <c r="K205" s="21">
        <f>K206</f>
        <v>2087</v>
      </c>
      <c r="L205" s="21"/>
      <c r="M205" s="86"/>
    </row>
    <row r="206" spans="1:13" s="11" customFormat="1" ht="15.75">
      <c r="A206" s="18"/>
      <c r="B206" s="18" t="s">
        <v>167</v>
      </c>
      <c r="C206" s="24" t="s">
        <v>100</v>
      </c>
      <c r="D206" s="22" t="s">
        <v>133</v>
      </c>
      <c r="E206" s="22" t="s">
        <v>150</v>
      </c>
      <c r="F206" s="24" t="s">
        <v>166</v>
      </c>
      <c r="G206" s="21">
        <v>2087</v>
      </c>
      <c r="H206" s="21"/>
      <c r="K206" s="21">
        <v>2087</v>
      </c>
      <c r="L206" s="21"/>
      <c r="M206" s="86"/>
    </row>
    <row r="207" spans="1:13" s="11" customFormat="1" ht="63">
      <c r="A207" s="18"/>
      <c r="B207" s="18" t="s">
        <v>451</v>
      </c>
      <c r="C207" s="24" t="s">
        <v>392</v>
      </c>
      <c r="D207" s="22" t="s">
        <v>133</v>
      </c>
      <c r="E207" s="22" t="s">
        <v>150</v>
      </c>
      <c r="F207" s="24"/>
      <c r="G207" s="21">
        <f>G208</f>
        <v>6776</v>
      </c>
      <c r="H207" s="21"/>
      <c r="K207" s="21">
        <f>K208</f>
        <v>6776</v>
      </c>
      <c r="L207" s="21"/>
      <c r="M207" s="86"/>
    </row>
    <row r="208" spans="1:13" s="11" customFormat="1" ht="31.5">
      <c r="A208" s="18"/>
      <c r="B208" s="18" t="s">
        <v>157</v>
      </c>
      <c r="C208" s="24" t="s">
        <v>392</v>
      </c>
      <c r="D208" s="22" t="s">
        <v>133</v>
      </c>
      <c r="E208" s="22" t="s">
        <v>150</v>
      </c>
      <c r="F208" s="24" t="s">
        <v>156</v>
      </c>
      <c r="G208" s="21">
        <f>G209</f>
        <v>6776</v>
      </c>
      <c r="H208" s="21"/>
      <c r="K208" s="21">
        <f>K209</f>
        <v>6776</v>
      </c>
      <c r="L208" s="21"/>
      <c r="M208" s="86"/>
    </row>
    <row r="209" spans="1:13" s="11" customFormat="1" ht="15.75">
      <c r="A209" s="18"/>
      <c r="B209" s="18" t="s">
        <v>167</v>
      </c>
      <c r="C209" s="24" t="s">
        <v>392</v>
      </c>
      <c r="D209" s="22" t="s">
        <v>133</v>
      </c>
      <c r="E209" s="22" t="s">
        <v>150</v>
      </c>
      <c r="F209" s="24" t="s">
        <v>166</v>
      </c>
      <c r="G209" s="21">
        <f>6926-150</f>
        <v>6776</v>
      </c>
      <c r="H209" s="21"/>
      <c r="K209" s="21">
        <f>6926-150</f>
        <v>6776</v>
      </c>
      <c r="L209" s="21"/>
      <c r="M209" s="86"/>
    </row>
    <row r="210" spans="1:13" s="11" customFormat="1" ht="78.75">
      <c r="A210" s="18"/>
      <c r="B210" s="19" t="s">
        <v>489</v>
      </c>
      <c r="C210" s="19" t="s">
        <v>615</v>
      </c>
      <c r="D210" s="22" t="s">
        <v>129</v>
      </c>
      <c r="E210" s="22" t="s">
        <v>134</v>
      </c>
      <c r="F210" s="24"/>
      <c r="G210" s="21">
        <f>G211</f>
        <v>8884.199999999999</v>
      </c>
      <c r="H210" s="21"/>
      <c r="K210" s="21">
        <f>K211</f>
        <v>8884.199999999999</v>
      </c>
      <c r="L210" s="21"/>
      <c r="M210" s="86"/>
    </row>
    <row r="211" spans="1:13" s="11" customFormat="1" ht="31.5">
      <c r="A211" s="18"/>
      <c r="B211" s="19" t="s">
        <v>157</v>
      </c>
      <c r="C211" s="19" t="s">
        <v>615</v>
      </c>
      <c r="D211" s="22" t="s">
        <v>129</v>
      </c>
      <c r="E211" s="22" t="s">
        <v>134</v>
      </c>
      <c r="F211" s="24" t="s">
        <v>156</v>
      </c>
      <c r="G211" s="21">
        <f>G212</f>
        <v>8884.199999999999</v>
      </c>
      <c r="H211" s="21"/>
      <c r="K211" s="21">
        <f>K212</f>
        <v>8884.199999999999</v>
      </c>
      <c r="L211" s="21"/>
      <c r="M211" s="86"/>
    </row>
    <row r="212" spans="1:13" s="11" customFormat="1" ht="15.75">
      <c r="A212" s="18"/>
      <c r="B212" s="19" t="s">
        <v>167</v>
      </c>
      <c r="C212" s="19" t="s">
        <v>615</v>
      </c>
      <c r="D212" s="22" t="s">
        <v>129</v>
      </c>
      <c r="E212" s="22" t="s">
        <v>134</v>
      </c>
      <c r="F212" s="24" t="s">
        <v>166</v>
      </c>
      <c r="G212" s="21">
        <f>12456.3-3447.1-157+14+18</f>
        <v>8884.199999999999</v>
      </c>
      <c r="H212" s="21"/>
      <c r="K212" s="21">
        <f>12456.3-3447.1-157+14+18</f>
        <v>8884.199999999999</v>
      </c>
      <c r="L212" s="21"/>
      <c r="M212" s="86"/>
    </row>
    <row r="213" spans="1:13" s="11" customFormat="1" ht="78.75">
      <c r="A213" s="18"/>
      <c r="B213" s="19" t="s">
        <v>522</v>
      </c>
      <c r="C213" s="19" t="s">
        <v>614</v>
      </c>
      <c r="D213" s="22" t="s">
        <v>129</v>
      </c>
      <c r="E213" s="22" t="s">
        <v>134</v>
      </c>
      <c r="F213" s="24"/>
      <c r="G213" s="21">
        <f>G214</f>
        <v>3447.1</v>
      </c>
      <c r="H213" s="21"/>
      <c r="K213" s="21">
        <f>K214</f>
        <v>3447.1</v>
      </c>
      <c r="L213" s="21"/>
      <c r="M213" s="86"/>
    </row>
    <row r="214" spans="1:13" s="11" customFormat="1" ht="31.5">
      <c r="A214" s="18"/>
      <c r="B214" s="19" t="s">
        <v>157</v>
      </c>
      <c r="C214" s="19" t="s">
        <v>614</v>
      </c>
      <c r="D214" s="22" t="s">
        <v>129</v>
      </c>
      <c r="E214" s="22" t="s">
        <v>134</v>
      </c>
      <c r="F214" s="24" t="s">
        <v>156</v>
      </c>
      <c r="G214" s="21">
        <f>G215</f>
        <v>3447.1</v>
      </c>
      <c r="H214" s="21"/>
      <c r="K214" s="21">
        <f>K215</f>
        <v>3447.1</v>
      </c>
      <c r="L214" s="21"/>
      <c r="M214" s="86"/>
    </row>
    <row r="215" spans="1:13" s="11" customFormat="1" ht="15.75">
      <c r="A215" s="18"/>
      <c r="B215" s="19" t="s">
        <v>167</v>
      </c>
      <c r="C215" s="19" t="s">
        <v>614</v>
      </c>
      <c r="D215" s="22" t="s">
        <v>129</v>
      </c>
      <c r="E215" s="22" t="s">
        <v>134</v>
      </c>
      <c r="F215" s="24" t="s">
        <v>166</v>
      </c>
      <c r="G215" s="21">
        <f>3447.1</f>
        <v>3447.1</v>
      </c>
      <c r="H215" s="21"/>
      <c r="K215" s="21">
        <f>3447.1</f>
        <v>3447.1</v>
      </c>
      <c r="L215" s="21"/>
      <c r="M215" s="86"/>
    </row>
    <row r="216" spans="1:13" s="11" customFormat="1" ht="47.25">
      <c r="A216" s="18"/>
      <c r="B216" s="19" t="s">
        <v>577</v>
      </c>
      <c r="C216" s="19" t="s">
        <v>619</v>
      </c>
      <c r="D216" s="22" t="s">
        <v>129</v>
      </c>
      <c r="E216" s="22" t="s">
        <v>134</v>
      </c>
      <c r="F216" s="24"/>
      <c r="G216" s="21">
        <f>G217</f>
        <v>517</v>
      </c>
      <c r="H216" s="21"/>
      <c r="K216" s="21">
        <f>K217</f>
        <v>383.8</v>
      </c>
      <c r="L216" s="21"/>
      <c r="M216" s="86"/>
    </row>
    <row r="217" spans="1:13" s="11" customFormat="1" ht="31.5">
      <c r="A217" s="18"/>
      <c r="B217" s="19" t="s">
        <v>157</v>
      </c>
      <c r="C217" s="19" t="s">
        <v>619</v>
      </c>
      <c r="D217" s="22" t="s">
        <v>129</v>
      </c>
      <c r="E217" s="22" t="s">
        <v>134</v>
      </c>
      <c r="F217" s="24" t="s">
        <v>156</v>
      </c>
      <c r="G217" s="21">
        <f>G218</f>
        <v>517</v>
      </c>
      <c r="H217" s="21"/>
      <c r="K217" s="21">
        <f>K218</f>
        <v>383.8</v>
      </c>
      <c r="L217" s="21"/>
      <c r="M217" s="86"/>
    </row>
    <row r="218" spans="1:13" s="11" customFormat="1" ht="15.75">
      <c r="A218" s="18"/>
      <c r="B218" s="19" t="s">
        <v>167</v>
      </c>
      <c r="C218" s="19" t="s">
        <v>619</v>
      </c>
      <c r="D218" s="22" t="s">
        <v>129</v>
      </c>
      <c r="E218" s="22" t="s">
        <v>134</v>
      </c>
      <c r="F218" s="24" t="s">
        <v>166</v>
      </c>
      <c r="G218" s="21">
        <f>517</f>
        <v>517</v>
      </c>
      <c r="H218" s="21"/>
      <c r="K218" s="21">
        <v>383.8</v>
      </c>
      <c r="L218" s="21"/>
      <c r="M218" s="86"/>
    </row>
    <row r="219" spans="1:13" s="11" customFormat="1" ht="63">
      <c r="A219" s="18"/>
      <c r="B219" s="19" t="s">
        <v>578</v>
      </c>
      <c r="C219" s="19" t="s">
        <v>620</v>
      </c>
      <c r="D219" s="22" t="s">
        <v>129</v>
      </c>
      <c r="E219" s="22" t="s">
        <v>134</v>
      </c>
      <c r="F219" s="24"/>
      <c r="G219" s="21">
        <f>G220</f>
        <v>3017</v>
      </c>
      <c r="H219" s="21"/>
      <c r="K219" s="21">
        <f>K220</f>
        <v>3001.8</v>
      </c>
      <c r="L219" s="21"/>
      <c r="M219" s="86"/>
    </row>
    <row r="220" spans="1:13" s="11" customFormat="1" ht="31.5">
      <c r="A220" s="18"/>
      <c r="B220" s="19" t="s">
        <v>157</v>
      </c>
      <c r="C220" s="19" t="s">
        <v>620</v>
      </c>
      <c r="D220" s="22" t="s">
        <v>129</v>
      </c>
      <c r="E220" s="22" t="s">
        <v>134</v>
      </c>
      <c r="F220" s="24" t="s">
        <v>156</v>
      </c>
      <c r="G220" s="21">
        <f>G221</f>
        <v>3017</v>
      </c>
      <c r="H220" s="21"/>
      <c r="K220" s="21">
        <f>K221</f>
        <v>3001.8</v>
      </c>
      <c r="L220" s="21"/>
      <c r="M220" s="86"/>
    </row>
    <row r="221" spans="1:13" s="11" customFormat="1" ht="15.75">
      <c r="A221" s="18"/>
      <c r="B221" s="19" t="s">
        <v>167</v>
      </c>
      <c r="C221" s="19" t="s">
        <v>620</v>
      </c>
      <c r="D221" s="22" t="s">
        <v>129</v>
      </c>
      <c r="E221" s="22" t="s">
        <v>134</v>
      </c>
      <c r="F221" s="24" t="s">
        <v>166</v>
      </c>
      <c r="G221" s="21">
        <f>3017</f>
        <v>3017</v>
      </c>
      <c r="H221" s="21"/>
      <c r="K221" s="21">
        <v>3001.8</v>
      </c>
      <c r="L221" s="21"/>
      <c r="M221" s="86"/>
    </row>
    <row r="222" spans="1:13" s="11" customFormat="1" ht="31.5">
      <c r="A222" s="18"/>
      <c r="B222" s="19" t="s">
        <v>559</v>
      </c>
      <c r="C222" s="19" t="s">
        <v>597</v>
      </c>
      <c r="D222" s="22" t="s">
        <v>133</v>
      </c>
      <c r="E222" s="22" t="s">
        <v>150</v>
      </c>
      <c r="F222" s="24"/>
      <c r="G222" s="21">
        <f>G223</f>
        <v>2232.6</v>
      </c>
      <c r="H222" s="21"/>
      <c r="K222" s="21">
        <f>K223</f>
        <v>2232.6</v>
      </c>
      <c r="L222" s="21"/>
      <c r="M222" s="86"/>
    </row>
    <row r="223" spans="1:13" s="11" customFormat="1" ht="31.5">
      <c r="A223" s="18"/>
      <c r="B223" s="19" t="s">
        <v>157</v>
      </c>
      <c r="C223" s="19" t="s">
        <v>597</v>
      </c>
      <c r="D223" s="22" t="s">
        <v>133</v>
      </c>
      <c r="E223" s="22" t="s">
        <v>150</v>
      </c>
      <c r="F223" s="24" t="s">
        <v>156</v>
      </c>
      <c r="G223" s="21">
        <f>G224</f>
        <v>2232.6</v>
      </c>
      <c r="H223" s="21"/>
      <c r="K223" s="21">
        <f>K224</f>
        <v>2232.6</v>
      </c>
      <c r="L223" s="21"/>
      <c r="M223" s="86"/>
    </row>
    <row r="224" spans="1:13" s="11" customFormat="1" ht="15.75">
      <c r="A224" s="18"/>
      <c r="B224" s="19" t="s">
        <v>167</v>
      </c>
      <c r="C224" s="19" t="s">
        <v>597</v>
      </c>
      <c r="D224" s="22" t="s">
        <v>133</v>
      </c>
      <c r="E224" s="22" t="s">
        <v>150</v>
      </c>
      <c r="F224" s="24" t="s">
        <v>166</v>
      </c>
      <c r="G224" s="21">
        <f>2232.6</f>
        <v>2232.6</v>
      </c>
      <c r="H224" s="21"/>
      <c r="K224" s="21">
        <f>2232.6</f>
        <v>2232.6</v>
      </c>
      <c r="L224" s="21"/>
      <c r="M224" s="86"/>
    </row>
    <row r="225" spans="1:13" s="11" customFormat="1" ht="31.5">
      <c r="A225" s="18"/>
      <c r="B225" s="18" t="s">
        <v>198</v>
      </c>
      <c r="C225" s="24" t="s">
        <v>115</v>
      </c>
      <c r="D225" s="22" t="s">
        <v>133</v>
      </c>
      <c r="E225" s="22" t="s">
        <v>150</v>
      </c>
      <c r="F225" s="24"/>
      <c r="G225" s="21">
        <f>G226</f>
        <v>5538.4</v>
      </c>
      <c r="H225" s="21"/>
      <c r="K225" s="21">
        <f>K226</f>
        <v>5538.4</v>
      </c>
      <c r="L225" s="21"/>
      <c r="M225" s="86"/>
    </row>
    <row r="226" spans="1:13" s="11" customFormat="1" ht="31.5">
      <c r="A226" s="18"/>
      <c r="B226" s="18" t="s">
        <v>157</v>
      </c>
      <c r="C226" s="24" t="s">
        <v>115</v>
      </c>
      <c r="D226" s="22" t="s">
        <v>133</v>
      </c>
      <c r="E226" s="22" t="s">
        <v>150</v>
      </c>
      <c r="F226" s="25" t="s">
        <v>156</v>
      </c>
      <c r="G226" s="21">
        <f>G227</f>
        <v>5538.4</v>
      </c>
      <c r="H226" s="21"/>
      <c r="K226" s="21">
        <f>K227</f>
        <v>5538.4</v>
      </c>
      <c r="L226" s="21"/>
      <c r="M226" s="86"/>
    </row>
    <row r="227" spans="1:13" s="11" customFormat="1" ht="15.75">
      <c r="A227" s="18"/>
      <c r="B227" s="18" t="s">
        <v>167</v>
      </c>
      <c r="C227" s="24" t="s">
        <v>115</v>
      </c>
      <c r="D227" s="22" t="s">
        <v>133</v>
      </c>
      <c r="E227" s="22" t="s">
        <v>150</v>
      </c>
      <c r="F227" s="25" t="s">
        <v>166</v>
      </c>
      <c r="G227" s="21">
        <v>5538.4</v>
      </c>
      <c r="H227" s="21"/>
      <c r="K227" s="21">
        <v>5538.4</v>
      </c>
      <c r="L227" s="21"/>
      <c r="M227" s="86"/>
    </row>
    <row r="228" spans="1:13" s="11" customFormat="1" ht="31.5">
      <c r="A228" s="18"/>
      <c r="B228" s="14" t="s">
        <v>199</v>
      </c>
      <c r="C228" s="24" t="s">
        <v>116</v>
      </c>
      <c r="D228" s="22" t="s">
        <v>133</v>
      </c>
      <c r="E228" s="22" t="s">
        <v>150</v>
      </c>
      <c r="F228" s="25"/>
      <c r="G228" s="21">
        <f>G229</f>
        <v>335909.50000000006</v>
      </c>
      <c r="H228" s="21"/>
      <c r="K228" s="21">
        <f>K229</f>
        <v>335909.50000000006</v>
      </c>
      <c r="L228" s="21"/>
      <c r="M228" s="86"/>
    </row>
    <row r="229" spans="1:13" s="11" customFormat="1" ht="31.5">
      <c r="A229" s="18"/>
      <c r="B229" s="19" t="s">
        <v>157</v>
      </c>
      <c r="C229" s="24" t="s">
        <v>116</v>
      </c>
      <c r="D229" s="22" t="s">
        <v>133</v>
      </c>
      <c r="E229" s="22" t="s">
        <v>150</v>
      </c>
      <c r="F229" s="25" t="s">
        <v>156</v>
      </c>
      <c r="G229" s="21">
        <f>G230</f>
        <v>335909.50000000006</v>
      </c>
      <c r="H229" s="21"/>
      <c r="K229" s="21">
        <f>K230</f>
        <v>335909.50000000006</v>
      </c>
      <c r="L229" s="21"/>
      <c r="M229" s="86"/>
    </row>
    <row r="230" spans="1:13" s="11" customFormat="1" ht="15.75">
      <c r="A230" s="18"/>
      <c r="B230" s="14" t="s">
        <v>167</v>
      </c>
      <c r="C230" s="24" t="s">
        <v>116</v>
      </c>
      <c r="D230" s="22" t="s">
        <v>133</v>
      </c>
      <c r="E230" s="22" t="s">
        <v>150</v>
      </c>
      <c r="F230" s="25" t="s">
        <v>166</v>
      </c>
      <c r="G230" s="21">
        <f>341084.9+10221.2+150-10000-8000+2843.5+3317.5-3707.6+41187-41187</f>
        <v>335909.50000000006</v>
      </c>
      <c r="H230" s="21"/>
      <c r="K230" s="21">
        <f>341084.9+10221.2+150-10000-8000+2843.5+3317.5-3707.6+41187-41187</f>
        <v>335909.50000000006</v>
      </c>
      <c r="L230" s="21"/>
      <c r="M230" s="86"/>
    </row>
    <row r="231" spans="1:13" s="11" customFormat="1" ht="15.75">
      <c r="A231" s="18"/>
      <c r="B231" s="14" t="s">
        <v>192</v>
      </c>
      <c r="C231" s="24" t="s">
        <v>117</v>
      </c>
      <c r="D231" s="22" t="s">
        <v>133</v>
      </c>
      <c r="E231" s="22" t="s">
        <v>150</v>
      </c>
      <c r="F231" s="22"/>
      <c r="G231" s="21">
        <f>G235+G232</f>
        <v>3075.8</v>
      </c>
      <c r="H231" s="21"/>
      <c r="K231" s="21">
        <f>K235+K232</f>
        <v>3045</v>
      </c>
      <c r="L231" s="21"/>
      <c r="M231" s="86"/>
    </row>
    <row r="232" spans="1:13" s="11" customFormat="1" ht="15.75">
      <c r="A232" s="18"/>
      <c r="B232" s="18" t="s">
        <v>307</v>
      </c>
      <c r="C232" s="24" t="s">
        <v>117</v>
      </c>
      <c r="D232" s="22" t="s">
        <v>133</v>
      </c>
      <c r="E232" s="22" t="s">
        <v>150</v>
      </c>
      <c r="F232" s="25" t="s">
        <v>160</v>
      </c>
      <c r="G232" s="21">
        <f>G233+G234</f>
        <v>153.8</v>
      </c>
      <c r="H232" s="21"/>
      <c r="K232" s="21">
        <f>K233+K234</f>
        <v>126</v>
      </c>
      <c r="L232" s="21"/>
      <c r="M232" s="86"/>
    </row>
    <row r="233" spans="1:13" s="11" customFormat="1" ht="15.75">
      <c r="A233" s="18"/>
      <c r="B233" s="18" t="s">
        <v>661</v>
      </c>
      <c r="C233" s="24" t="s">
        <v>117</v>
      </c>
      <c r="D233" s="22" t="s">
        <v>133</v>
      </c>
      <c r="E233" s="22" t="s">
        <v>150</v>
      </c>
      <c r="F233" s="25" t="s">
        <v>662</v>
      </c>
      <c r="G233" s="21">
        <v>36</v>
      </c>
      <c r="H233" s="21"/>
      <c r="K233" s="21">
        <v>36</v>
      </c>
      <c r="L233" s="21"/>
      <c r="M233" s="86"/>
    </row>
    <row r="234" spans="1:13" s="11" customFormat="1" ht="15.75">
      <c r="A234" s="18"/>
      <c r="B234" s="18" t="s">
        <v>663</v>
      </c>
      <c r="C234" s="24" t="s">
        <v>117</v>
      </c>
      <c r="D234" s="22" t="s">
        <v>133</v>
      </c>
      <c r="E234" s="22" t="s">
        <v>150</v>
      </c>
      <c r="F234" s="25" t="s">
        <v>664</v>
      </c>
      <c r="G234" s="21">
        <v>117.8</v>
      </c>
      <c r="H234" s="21"/>
      <c r="K234" s="21">
        <v>90</v>
      </c>
      <c r="L234" s="21"/>
      <c r="M234" s="86"/>
    </row>
    <row r="235" spans="1:13" s="11" customFormat="1" ht="31.5">
      <c r="A235" s="18"/>
      <c r="B235" s="19" t="s">
        <v>157</v>
      </c>
      <c r="C235" s="24" t="s">
        <v>117</v>
      </c>
      <c r="D235" s="22" t="s">
        <v>133</v>
      </c>
      <c r="E235" s="22" t="s">
        <v>150</v>
      </c>
      <c r="F235" s="25" t="s">
        <v>156</v>
      </c>
      <c r="G235" s="21">
        <f>G236+G237</f>
        <v>2922</v>
      </c>
      <c r="H235" s="21"/>
      <c r="K235" s="21">
        <f>K236+K237</f>
        <v>2919</v>
      </c>
      <c r="L235" s="21"/>
      <c r="M235" s="86"/>
    </row>
    <row r="236" spans="1:13" s="11" customFormat="1" ht="15.75">
      <c r="A236" s="18"/>
      <c r="B236" s="14" t="s">
        <v>167</v>
      </c>
      <c r="C236" s="24" t="s">
        <v>117</v>
      </c>
      <c r="D236" s="22" t="s">
        <v>133</v>
      </c>
      <c r="E236" s="22" t="s">
        <v>150</v>
      </c>
      <c r="F236" s="25" t="s">
        <v>166</v>
      </c>
      <c r="G236" s="21">
        <v>2865.9</v>
      </c>
      <c r="H236" s="21"/>
      <c r="K236" s="21">
        <v>2865.9</v>
      </c>
      <c r="L236" s="21"/>
      <c r="M236" s="86"/>
    </row>
    <row r="237" spans="1:13" s="11" customFormat="1" ht="31.5">
      <c r="A237" s="18"/>
      <c r="B237" s="14" t="s">
        <v>194</v>
      </c>
      <c r="C237" s="24" t="s">
        <v>117</v>
      </c>
      <c r="D237" s="22" t="s">
        <v>133</v>
      </c>
      <c r="E237" s="22" t="s">
        <v>150</v>
      </c>
      <c r="F237" s="25">
        <v>630</v>
      </c>
      <c r="G237" s="21">
        <v>56.1</v>
      </c>
      <c r="H237" s="21"/>
      <c r="K237" s="21">
        <v>53.1</v>
      </c>
      <c r="L237" s="21"/>
      <c r="M237" s="86"/>
    </row>
    <row r="238" spans="1:13" s="11" customFormat="1" ht="15.75">
      <c r="A238" s="18"/>
      <c r="B238" s="14" t="s">
        <v>177</v>
      </c>
      <c r="C238" s="24" t="s">
        <v>118</v>
      </c>
      <c r="D238" s="22" t="s">
        <v>133</v>
      </c>
      <c r="E238" s="22" t="s">
        <v>150</v>
      </c>
      <c r="F238" s="25"/>
      <c r="G238" s="21">
        <f>G239</f>
        <v>106215.49999999999</v>
      </c>
      <c r="H238" s="21"/>
      <c r="K238" s="21">
        <f>K239</f>
        <v>106215.49999999999</v>
      </c>
      <c r="L238" s="21"/>
      <c r="M238" s="86"/>
    </row>
    <row r="239" spans="1:13" s="11" customFormat="1" ht="31.5">
      <c r="A239" s="18"/>
      <c r="B239" s="19" t="s">
        <v>157</v>
      </c>
      <c r="C239" s="24" t="s">
        <v>118</v>
      </c>
      <c r="D239" s="22" t="s">
        <v>133</v>
      </c>
      <c r="E239" s="22" t="s">
        <v>150</v>
      </c>
      <c r="F239" s="25" t="s">
        <v>156</v>
      </c>
      <c r="G239" s="21">
        <f>G240</f>
        <v>106215.49999999999</v>
      </c>
      <c r="H239" s="21"/>
      <c r="K239" s="21">
        <f>K240</f>
        <v>106215.49999999999</v>
      </c>
      <c r="L239" s="21"/>
      <c r="M239" s="86"/>
    </row>
    <row r="240" spans="1:13" s="11" customFormat="1" ht="15.75">
      <c r="A240" s="18"/>
      <c r="B240" s="14" t="s">
        <v>167</v>
      </c>
      <c r="C240" s="24" t="s">
        <v>118</v>
      </c>
      <c r="D240" s="22" t="s">
        <v>133</v>
      </c>
      <c r="E240" s="22" t="s">
        <v>150</v>
      </c>
      <c r="F240" s="25" t="s">
        <v>166</v>
      </c>
      <c r="G240" s="21">
        <f>100800-200+174.2-2456.6-4167+82+1074.7-1000+3000+4000+300+1902+721.5-20.5-22+628.5+978.7+420</f>
        <v>106215.49999999999</v>
      </c>
      <c r="H240" s="21"/>
      <c r="K240" s="21">
        <f>100800-200+174.2-2456.6-4167+82+1074.7-1000+3000+4000+300+1902+721.5-20.5-22+628.5+978.7+420</f>
        <v>106215.49999999999</v>
      </c>
      <c r="L240" s="21"/>
      <c r="M240" s="86"/>
    </row>
    <row r="241" spans="1:13" s="11" customFormat="1" ht="47.25">
      <c r="A241" s="18"/>
      <c r="B241" s="14" t="s">
        <v>528</v>
      </c>
      <c r="C241" s="19" t="s">
        <v>617</v>
      </c>
      <c r="D241" s="22" t="s">
        <v>133</v>
      </c>
      <c r="E241" s="22" t="s">
        <v>150</v>
      </c>
      <c r="F241" s="22"/>
      <c r="G241" s="21">
        <f>G242</f>
        <v>239364.3</v>
      </c>
      <c r="H241" s="21"/>
      <c r="K241" s="21">
        <f>K242</f>
        <v>204644.1</v>
      </c>
      <c r="L241" s="21"/>
      <c r="M241" s="86"/>
    </row>
    <row r="242" spans="1:13" s="11" customFormat="1" ht="31.5">
      <c r="A242" s="18"/>
      <c r="B242" s="14" t="s">
        <v>33</v>
      </c>
      <c r="C242" s="19" t="s">
        <v>617</v>
      </c>
      <c r="D242" s="22" t="s">
        <v>133</v>
      </c>
      <c r="E242" s="22" t="s">
        <v>150</v>
      </c>
      <c r="F242" s="22" t="s">
        <v>218</v>
      </c>
      <c r="G242" s="21">
        <f>G243</f>
        <v>239364.3</v>
      </c>
      <c r="H242" s="21"/>
      <c r="K242" s="21">
        <f>K243</f>
        <v>204644.1</v>
      </c>
      <c r="L242" s="21"/>
      <c r="M242" s="86"/>
    </row>
    <row r="243" spans="1:13" s="11" customFormat="1" ht="110.25">
      <c r="A243" s="18"/>
      <c r="B243" s="18" t="s">
        <v>242</v>
      </c>
      <c r="C243" s="19" t="s">
        <v>617</v>
      </c>
      <c r="D243" s="22" t="s">
        <v>133</v>
      </c>
      <c r="E243" s="22" t="s">
        <v>150</v>
      </c>
      <c r="F243" s="22" t="s">
        <v>243</v>
      </c>
      <c r="G243" s="21">
        <f>239364.3</f>
        <v>239364.3</v>
      </c>
      <c r="H243" s="21"/>
      <c r="K243" s="21">
        <v>204644.1</v>
      </c>
      <c r="L243" s="21"/>
      <c r="M243" s="86"/>
    </row>
    <row r="244" spans="1:13" s="11" customFormat="1" ht="47.25">
      <c r="A244" s="18"/>
      <c r="B244" s="14" t="s">
        <v>527</v>
      </c>
      <c r="C244" s="19" t="s">
        <v>617</v>
      </c>
      <c r="D244" s="22" t="s">
        <v>133</v>
      </c>
      <c r="E244" s="22" t="s">
        <v>150</v>
      </c>
      <c r="F244" s="22"/>
      <c r="G244" s="21">
        <f>G245</f>
        <v>522</v>
      </c>
      <c r="H244" s="21"/>
      <c r="K244" s="21">
        <f>K245</f>
        <v>0</v>
      </c>
      <c r="L244" s="21"/>
      <c r="M244" s="86"/>
    </row>
    <row r="245" spans="1:13" s="11" customFormat="1" ht="31.5">
      <c r="A245" s="18"/>
      <c r="B245" s="14" t="s">
        <v>33</v>
      </c>
      <c r="C245" s="19" t="s">
        <v>617</v>
      </c>
      <c r="D245" s="22" t="s">
        <v>133</v>
      </c>
      <c r="E245" s="22" t="s">
        <v>150</v>
      </c>
      <c r="F245" s="22" t="s">
        <v>218</v>
      </c>
      <c r="G245" s="21">
        <f>G246</f>
        <v>522</v>
      </c>
      <c r="H245" s="21"/>
      <c r="K245" s="21">
        <f>K246</f>
        <v>0</v>
      </c>
      <c r="L245" s="21"/>
      <c r="M245" s="86"/>
    </row>
    <row r="246" spans="1:13" s="11" customFormat="1" ht="110.25">
      <c r="A246" s="18"/>
      <c r="B246" s="18" t="s">
        <v>242</v>
      </c>
      <c r="C246" s="19" t="s">
        <v>617</v>
      </c>
      <c r="D246" s="22" t="s">
        <v>133</v>
      </c>
      <c r="E246" s="22" t="s">
        <v>150</v>
      </c>
      <c r="F246" s="22" t="s">
        <v>243</v>
      </c>
      <c r="G246" s="21">
        <f>13471.2-8471.2-4500+22</f>
        <v>522</v>
      </c>
      <c r="H246" s="21"/>
      <c r="K246" s="21">
        <v>0</v>
      </c>
      <c r="L246" s="21"/>
      <c r="M246" s="86"/>
    </row>
    <row r="247" spans="1:13" s="11" customFormat="1" ht="47.25">
      <c r="A247" s="18"/>
      <c r="B247" s="18" t="s">
        <v>606</v>
      </c>
      <c r="C247" s="19" t="s">
        <v>623</v>
      </c>
      <c r="D247" s="22" t="s">
        <v>133</v>
      </c>
      <c r="E247" s="22" t="s">
        <v>150</v>
      </c>
      <c r="F247" s="22"/>
      <c r="G247" s="21">
        <f>G248</f>
        <v>27.8</v>
      </c>
      <c r="H247" s="21"/>
      <c r="K247" s="21">
        <f>K248</f>
        <v>0</v>
      </c>
      <c r="L247" s="21"/>
      <c r="M247" s="86"/>
    </row>
    <row r="248" spans="1:13" s="11" customFormat="1" ht="31.5">
      <c r="A248" s="18"/>
      <c r="B248" s="18" t="s">
        <v>53</v>
      </c>
      <c r="C248" s="19" t="s">
        <v>623</v>
      </c>
      <c r="D248" s="22" t="s">
        <v>133</v>
      </c>
      <c r="E248" s="22" t="s">
        <v>150</v>
      </c>
      <c r="F248" s="22" t="s">
        <v>218</v>
      </c>
      <c r="G248" s="21">
        <f>G249</f>
        <v>27.8</v>
      </c>
      <c r="H248" s="21"/>
      <c r="K248" s="21">
        <f>K249</f>
        <v>0</v>
      </c>
      <c r="L248" s="21"/>
      <c r="M248" s="86"/>
    </row>
    <row r="249" spans="1:13" s="11" customFormat="1" ht="110.25">
      <c r="A249" s="18"/>
      <c r="B249" s="18" t="s">
        <v>242</v>
      </c>
      <c r="C249" s="19" t="s">
        <v>623</v>
      </c>
      <c r="D249" s="22" t="s">
        <v>133</v>
      </c>
      <c r="E249" s="22" t="s">
        <v>150</v>
      </c>
      <c r="F249" s="22" t="s">
        <v>243</v>
      </c>
      <c r="G249" s="21">
        <v>27.8</v>
      </c>
      <c r="H249" s="21"/>
      <c r="K249" s="21">
        <v>0</v>
      </c>
      <c r="L249" s="21"/>
      <c r="M249" s="86"/>
    </row>
    <row r="250" spans="1:13" s="11" customFormat="1" ht="33" customHeight="1">
      <c r="A250" s="18"/>
      <c r="B250" s="18" t="s">
        <v>410</v>
      </c>
      <c r="C250" s="19" t="s">
        <v>618</v>
      </c>
      <c r="D250" s="22" t="s">
        <v>133</v>
      </c>
      <c r="E250" s="22" t="s">
        <v>150</v>
      </c>
      <c r="F250" s="22"/>
      <c r="G250" s="21">
        <f>G251</f>
        <v>950</v>
      </c>
      <c r="H250" s="21"/>
      <c r="K250" s="21">
        <f>K251</f>
        <v>950</v>
      </c>
      <c r="L250" s="21"/>
      <c r="M250" s="86"/>
    </row>
    <row r="251" spans="1:13" s="11" customFormat="1" ht="31.5">
      <c r="A251" s="18"/>
      <c r="B251" s="18" t="s">
        <v>53</v>
      </c>
      <c r="C251" s="19" t="s">
        <v>618</v>
      </c>
      <c r="D251" s="22" t="s">
        <v>133</v>
      </c>
      <c r="E251" s="22" t="s">
        <v>150</v>
      </c>
      <c r="F251" s="22" t="s">
        <v>218</v>
      </c>
      <c r="G251" s="21">
        <f>G252</f>
        <v>950</v>
      </c>
      <c r="H251" s="21"/>
      <c r="K251" s="21">
        <f>K252</f>
        <v>950</v>
      </c>
      <c r="L251" s="21"/>
      <c r="M251" s="86"/>
    </row>
    <row r="252" spans="1:13" s="11" customFormat="1" ht="110.25">
      <c r="A252" s="18"/>
      <c r="B252" s="18" t="s">
        <v>242</v>
      </c>
      <c r="C252" s="19" t="s">
        <v>618</v>
      </c>
      <c r="D252" s="22" t="s">
        <v>133</v>
      </c>
      <c r="E252" s="22" t="s">
        <v>150</v>
      </c>
      <c r="F252" s="22" t="s">
        <v>243</v>
      </c>
      <c r="G252" s="21">
        <f>2500-1750+200</f>
        <v>950</v>
      </c>
      <c r="H252" s="21"/>
      <c r="K252" s="21">
        <f>2500-1750+200</f>
        <v>950</v>
      </c>
      <c r="L252" s="21"/>
      <c r="M252" s="86"/>
    </row>
    <row r="253" spans="1:13" s="11" customFormat="1" ht="78.75">
      <c r="A253" s="18"/>
      <c r="B253" s="57" t="s">
        <v>636</v>
      </c>
      <c r="C253" s="22" t="s">
        <v>615</v>
      </c>
      <c r="D253" s="22" t="s">
        <v>402</v>
      </c>
      <c r="E253" s="22" t="s">
        <v>127</v>
      </c>
      <c r="F253" s="22"/>
      <c r="G253" s="21">
        <f>G254</f>
        <v>139</v>
      </c>
      <c r="H253" s="21">
        <f>H254</f>
        <v>0</v>
      </c>
      <c r="K253" s="21">
        <f>K254</f>
        <v>139</v>
      </c>
      <c r="L253" s="21">
        <f>L254</f>
        <v>0</v>
      </c>
      <c r="M253" s="86"/>
    </row>
    <row r="254" spans="1:13" s="11" customFormat="1" ht="15.75">
      <c r="A254" s="18"/>
      <c r="B254" s="57" t="s">
        <v>632</v>
      </c>
      <c r="C254" s="22" t="s">
        <v>615</v>
      </c>
      <c r="D254" s="22" t="s">
        <v>402</v>
      </c>
      <c r="E254" s="22" t="s">
        <v>127</v>
      </c>
      <c r="F254" s="22" t="s">
        <v>633</v>
      </c>
      <c r="G254" s="21">
        <f>G255</f>
        <v>139</v>
      </c>
      <c r="H254" s="21">
        <f>H255</f>
        <v>0</v>
      </c>
      <c r="K254" s="21">
        <f>K255</f>
        <v>139</v>
      </c>
      <c r="L254" s="21">
        <f>L255</f>
        <v>0</v>
      </c>
      <c r="M254" s="86"/>
    </row>
    <row r="255" spans="1:13" s="11" customFormat="1" ht="15.75">
      <c r="A255" s="18"/>
      <c r="B255" s="57" t="s">
        <v>634</v>
      </c>
      <c r="C255" s="22" t="s">
        <v>615</v>
      </c>
      <c r="D255" s="22" t="s">
        <v>402</v>
      </c>
      <c r="E255" s="22" t="s">
        <v>127</v>
      </c>
      <c r="F255" s="22" t="s">
        <v>635</v>
      </c>
      <c r="G255" s="21">
        <f>157-18</f>
        <v>139</v>
      </c>
      <c r="H255" s="21">
        <v>0</v>
      </c>
      <c r="K255" s="21">
        <f>157-18</f>
        <v>139</v>
      </c>
      <c r="L255" s="21">
        <v>0</v>
      </c>
      <c r="M255" s="86"/>
    </row>
    <row r="256" spans="1:13" s="11" customFormat="1" ht="35.25" customHeight="1">
      <c r="A256" s="18"/>
      <c r="B256" s="57" t="s">
        <v>199</v>
      </c>
      <c r="C256" s="22" t="s">
        <v>116</v>
      </c>
      <c r="D256" s="22" t="s">
        <v>402</v>
      </c>
      <c r="E256" s="22" t="s">
        <v>127</v>
      </c>
      <c r="F256" s="22"/>
      <c r="G256" s="22">
        <f>G257</f>
        <v>3707.6</v>
      </c>
      <c r="H256" s="21"/>
      <c r="K256" s="22">
        <f>K257</f>
        <v>3707.6</v>
      </c>
      <c r="L256" s="21"/>
      <c r="M256" s="86"/>
    </row>
    <row r="257" spans="1:13" s="11" customFormat="1" ht="15.75">
      <c r="A257" s="18"/>
      <c r="B257" s="57" t="s">
        <v>632</v>
      </c>
      <c r="C257" s="22" t="s">
        <v>116</v>
      </c>
      <c r="D257" s="22" t="s">
        <v>402</v>
      </c>
      <c r="E257" s="22" t="s">
        <v>127</v>
      </c>
      <c r="F257" s="22" t="s">
        <v>633</v>
      </c>
      <c r="G257" s="22">
        <f>G258</f>
        <v>3707.6</v>
      </c>
      <c r="H257" s="21"/>
      <c r="K257" s="22">
        <f>K258</f>
        <v>3707.6</v>
      </c>
      <c r="L257" s="21"/>
      <c r="M257" s="86"/>
    </row>
    <row r="258" spans="1:13" s="11" customFormat="1" ht="15.75">
      <c r="A258" s="18"/>
      <c r="B258" s="57" t="s">
        <v>634</v>
      </c>
      <c r="C258" s="22" t="s">
        <v>116</v>
      </c>
      <c r="D258" s="22" t="s">
        <v>402</v>
      </c>
      <c r="E258" s="22" t="s">
        <v>127</v>
      </c>
      <c r="F258" s="22" t="s">
        <v>635</v>
      </c>
      <c r="G258" s="22">
        <f>3707.6</f>
        <v>3707.6</v>
      </c>
      <c r="H258" s="21"/>
      <c r="K258" s="22">
        <f>3707.6</f>
        <v>3707.6</v>
      </c>
      <c r="L258" s="21"/>
      <c r="M258" s="86"/>
    </row>
    <row r="259" spans="1:13" s="11" customFormat="1" ht="19.5" customHeight="1">
      <c r="A259" s="18"/>
      <c r="B259" s="57" t="s">
        <v>192</v>
      </c>
      <c r="C259" s="22" t="s">
        <v>117</v>
      </c>
      <c r="D259" s="22" t="s">
        <v>402</v>
      </c>
      <c r="E259" s="22" t="s">
        <v>127</v>
      </c>
      <c r="F259" s="22"/>
      <c r="G259" s="21">
        <f>G260</f>
        <v>15</v>
      </c>
      <c r="H259" s="21"/>
      <c r="K259" s="21">
        <f>K260</f>
        <v>15</v>
      </c>
      <c r="L259" s="21"/>
      <c r="M259" s="86"/>
    </row>
    <row r="260" spans="1:13" s="11" customFormat="1" ht="15.75">
      <c r="A260" s="18"/>
      <c r="B260" s="57" t="s">
        <v>632</v>
      </c>
      <c r="C260" s="22" t="s">
        <v>117</v>
      </c>
      <c r="D260" s="22" t="s">
        <v>402</v>
      </c>
      <c r="E260" s="22" t="s">
        <v>127</v>
      </c>
      <c r="F260" s="22" t="s">
        <v>633</v>
      </c>
      <c r="G260" s="21">
        <f>G261</f>
        <v>15</v>
      </c>
      <c r="H260" s="21"/>
      <c r="K260" s="21">
        <f>K261</f>
        <v>15</v>
      </c>
      <c r="L260" s="21"/>
      <c r="M260" s="86"/>
    </row>
    <row r="261" spans="1:13" s="11" customFormat="1" ht="15.75">
      <c r="A261" s="18"/>
      <c r="B261" s="57" t="s">
        <v>634</v>
      </c>
      <c r="C261" s="22" t="s">
        <v>117</v>
      </c>
      <c r="D261" s="22" t="s">
        <v>402</v>
      </c>
      <c r="E261" s="22" t="s">
        <v>127</v>
      </c>
      <c r="F261" s="22" t="s">
        <v>635</v>
      </c>
      <c r="G261" s="21">
        <f>15</f>
        <v>15</v>
      </c>
      <c r="H261" s="21"/>
      <c r="K261" s="21">
        <f>15</f>
        <v>15</v>
      </c>
      <c r="L261" s="21"/>
      <c r="M261" s="86"/>
    </row>
    <row r="262" spans="1:13" s="11" customFormat="1" ht="20.25" customHeight="1">
      <c r="A262" s="18"/>
      <c r="B262" s="57" t="s">
        <v>177</v>
      </c>
      <c r="C262" s="22" t="s">
        <v>118</v>
      </c>
      <c r="D262" s="22" t="s">
        <v>402</v>
      </c>
      <c r="E262" s="22" t="s">
        <v>127</v>
      </c>
      <c r="F262" s="22"/>
      <c r="G262" s="22">
        <f>G263</f>
        <v>20.5</v>
      </c>
      <c r="H262" s="21"/>
      <c r="K262" s="22">
        <f>K263</f>
        <v>20.5</v>
      </c>
      <c r="L262" s="21"/>
      <c r="M262" s="86"/>
    </row>
    <row r="263" spans="1:13" s="11" customFormat="1" ht="15.75">
      <c r="A263" s="18"/>
      <c r="B263" s="57" t="s">
        <v>632</v>
      </c>
      <c r="C263" s="22" t="s">
        <v>118</v>
      </c>
      <c r="D263" s="22" t="s">
        <v>402</v>
      </c>
      <c r="E263" s="22" t="s">
        <v>127</v>
      </c>
      <c r="F263" s="22" t="s">
        <v>633</v>
      </c>
      <c r="G263" s="22">
        <f>G264</f>
        <v>20.5</v>
      </c>
      <c r="H263" s="21"/>
      <c r="K263" s="22">
        <f>K264</f>
        <v>20.5</v>
      </c>
      <c r="L263" s="21"/>
      <c r="M263" s="86"/>
    </row>
    <row r="264" spans="1:13" s="11" customFormat="1" ht="15.75">
      <c r="A264" s="18"/>
      <c r="B264" s="57" t="s">
        <v>634</v>
      </c>
      <c r="C264" s="22" t="s">
        <v>118</v>
      </c>
      <c r="D264" s="22" t="s">
        <v>402</v>
      </c>
      <c r="E264" s="22" t="s">
        <v>127</v>
      </c>
      <c r="F264" s="22" t="s">
        <v>635</v>
      </c>
      <c r="G264" s="22">
        <f>20.5</f>
        <v>20.5</v>
      </c>
      <c r="H264" s="21"/>
      <c r="K264" s="22">
        <f>20.5</f>
        <v>20.5</v>
      </c>
      <c r="L264" s="21"/>
      <c r="M264" s="86"/>
    </row>
    <row r="265" spans="1:13" s="11" customFormat="1" ht="15.75">
      <c r="A265" s="18"/>
      <c r="B265" s="37" t="s">
        <v>328</v>
      </c>
      <c r="C265" s="19" t="s">
        <v>73</v>
      </c>
      <c r="D265" s="22" t="s">
        <v>133</v>
      </c>
      <c r="E265" s="22" t="s">
        <v>127</v>
      </c>
      <c r="F265" s="22"/>
      <c r="G265" s="21">
        <f>G266</f>
        <v>182762.80000000002</v>
      </c>
      <c r="H265" s="21">
        <f>H266</f>
        <v>2360</v>
      </c>
      <c r="K265" s="21">
        <f>K266</f>
        <v>182691.40000000002</v>
      </c>
      <c r="L265" s="21">
        <f>L266</f>
        <v>2360</v>
      </c>
      <c r="M265" s="86"/>
    </row>
    <row r="266" spans="1:13" s="11" customFormat="1" ht="31.5">
      <c r="A266" s="18"/>
      <c r="B266" s="49" t="s">
        <v>47</v>
      </c>
      <c r="C266" s="43" t="s">
        <v>255</v>
      </c>
      <c r="D266" s="39" t="s">
        <v>133</v>
      </c>
      <c r="E266" s="39" t="s">
        <v>127</v>
      </c>
      <c r="F266" s="39"/>
      <c r="G266" s="47">
        <f>G273+G276+G279+G267+G270</f>
        <v>182762.80000000002</v>
      </c>
      <c r="H266" s="47">
        <f>H273+H276+H279+H267+H270</f>
        <v>2360</v>
      </c>
      <c r="K266" s="47">
        <f>K273+K276+K279+K267+K270</f>
        <v>182691.40000000002</v>
      </c>
      <c r="L266" s="47">
        <f>L273+L276+L279+L267+L270</f>
        <v>2360</v>
      </c>
      <c r="M266" s="86"/>
    </row>
    <row r="267" spans="1:13" s="11" customFormat="1" ht="47.25">
      <c r="A267" s="18"/>
      <c r="B267" s="14" t="s">
        <v>529</v>
      </c>
      <c r="C267" s="19" t="s">
        <v>552</v>
      </c>
      <c r="D267" s="22" t="s">
        <v>133</v>
      </c>
      <c r="E267" s="22" t="s">
        <v>127</v>
      </c>
      <c r="F267" s="24"/>
      <c r="G267" s="21">
        <f>G268</f>
        <v>1560</v>
      </c>
      <c r="H267" s="21">
        <f>H268</f>
        <v>1560</v>
      </c>
      <c r="K267" s="21">
        <f>K268</f>
        <v>1560</v>
      </c>
      <c r="L267" s="21">
        <f>L268</f>
        <v>1560</v>
      </c>
      <c r="M267" s="86"/>
    </row>
    <row r="268" spans="1:13" s="11" customFormat="1" ht="31.5">
      <c r="A268" s="18"/>
      <c r="B268" s="14" t="s">
        <v>157</v>
      </c>
      <c r="C268" s="19" t="s">
        <v>552</v>
      </c>
      <c r="D268" s="22" t="s">
        <v>133</v>
      </c>
      <c r="E268" s="22" t="s">
        <v>127</v>
      </c>
      <c r="F268" s="24" t="s">
        <v>156</v>
      </c>
      <c r="G268" s="21">
        <f>G269</f>
        <v>1560</v>
      </c>
      <c r="H268" s="21">
        <f>H269</f>
        <v>1560</v>
      </c>
      <c r="K268" s="21">
        <f>K269</f>
        <v>1560</v>
      </c>
      <c r="L268" s="21">
        <f>L269</f>
        <v>1560</v>
      </c>
      <c r="M268" s="86"/>
    </row>
    <row r="269" spans="1:13" s="11" customFormat="1" ht="15.75">
      <c r="A269" s="18"/>
      <c r="B269" s="14" t="s">
        <v>167</v>
      </c>
      <c r="C269" s="19" t="s">
        <v>552</v>
      </c>
      <c r="D269" s="22" t="s">
        <v>133</v>
      </c>
      <c r="E269" s="22" t="s">
        <v>127</v>
      </c>
      <c r="F269" s="24" t="s">
        <v>166</v>
      </c>
      <c r="G269" s="21">
        <f>600+800+160</f>
        <v>1560</v>
      </c>
      <c r="H269" s="21">
        <f>G269</f>
        <v>1560</v>
      </c>
      <c r="K269" s="21">
        <f>600+800+160</f>
        <v>1560</v>
      </c>
      <c r="L269" s="21">
        <f>K269</f>
        <v>1560</v>
      </c>
      <c r="M269" s="86"/>
    </row>
    <row r="270" spans="1:13" s="11" customFormat="1" ht="64.5" customHeight="1">
      <c r="A270" s="18"/>
      <c r="B270" s="14" t="s">
        <v>596</v>
      </c>
      <c r="C270" s="22" t="s">
        <v>621</v>
      </c>
      <c r="D270" s="22" t="s">
        <v>133</v>
      </c>
      <c r="E270" s="22" t="s">
        <v>127</v>
      </c>
      <c r="F270" s="24"/>
      <c r="G270" s="21">
        <f>G271</f>
        <v>880</v>
      </c>
      <c r="H270" s="21">
        <f>H271</f>
        <v>800</v>
      </c>
      <c r="K270" s="21">
        <f>K271</f>
        <v>880</v>
      </c>
      <c r="L270" s="21">
        <f>L271</f>
        <v>800</v>
      </c>
      <c r="M270" s="86"/>
    </row>
    <row r="271" spans="1:13" s="11" customFormat="1" ht="33" customHeight="1">
      <c r="A271" s="18"/>
      <c r="B271" s="14" t="s">
        <v>157</v>
      </c>
      <c r="C271" s="22" t="s">
        <v>621</v>
      </c>
      <c r="D271" s="22" t="s">
        <v>133</v>
      </c>
      <c r="E271" s="22" t="s">
        <v>127</v>
      </c>
      <c r="F271" s="24" t="s">
        <v>156</v>
      </c>
      <c r="G271" s="21">
        <f>G272</f>
        <v>880</v>
      </c>
      <c r="H271" s="21">
        <f>H272</f>
        <v>800</v>
      </c>
      <c r="K271" s="21">
        <f>K272</f>
        <v>880</v>
      </c>
      <c r="L271" s="21">
        <f>L272</f>
        <v>800</v>
      </c>
      <c r="M271" s="86"/>
    </row>
    <row r="272" spans="1:13" s="11" customFormat="1" ht="18.75" customHeight="1">
      <c r="A272" s="18"/>
      <c r="B272" s="14" t="s">
        <v>167</v>
      </c>
      <c r="C272" s="22" t="s">
        <v>621</v>
      </c>
      <c r="D272" s="22" t="s">
        <v>133</v>
      </c>
      <c r="E272" s="22" t="s">
        <v>127</v>
      </c>
      <c r="F272" s="24" t="s">
        <v>166</v>
      </c>
      <c r="G272" s="21">
        <f>800+80</f>
        <v>880</v>
      </c>
      <c r="H272" s="21">
        <v>800</v>
      </c>
      <c r="K272" s="21">
        <f>800+80</f>
        <v>880</v>
      </c>
      <c r="L272" s="21">
        <v>800</v>
      </c>
      <c r="M272" s="86"/>
    </row>
    <row r="273" spans="1:13" s="11" customFormat="1" ht="31.5">
      <c r="A273" s="18"/>
      <c r="B273" s="14" t="s">
        <v>204</v>
      </c>
      <c r="C273" s="19" t="s">
        <v>256</v>
      </c>
      <c r="D273" s="22" t="s">
        <v>133</v>
      </c>
      <c r="E273" s="22" t="s">
        <v>127</v>
      </c>
      <c r="F273" s="24"/>
      <c r="G273" s="21">
        <f>G274</f>
        <v>166040.40000000002</v>
      </c>
      <c r="H273" s="21"/>
      <c r="K273" s="21">
        <f>K274</f>
        <v>166040.40000000002</v>
      </c>
      <c r="L273" s="21"/>
      <c r="M273" s="86"/>
    </row>
    <row r="274" spans="1:13" s="11" customFormat="1" ht="31.5">
      <c r="A274" s="18"/>
      <c r="B274" s="19" t="s">
        <v>157</v>
      </c>
      <c r="C274" s="19" t="s">
        <v>256</v>
      </c>
      <c r="D274" s="22" t="s">
        <v>133</v>
      </c>
      <c r="E274" s="22" t="s">
        <v>127</v>
      </c>
      <c r="F274" s="24" t="s">
        <v>156</v>
      </c>
      <c r="G274" s="21">
        <f>G275</f>
        <v>166040.40000000002</v>
      </c>
      <c r="H274" s="21"/>
      <c r="K274" s="21">
        <f>K275</f>
        <v>166040.40000000002</v>
      </c>
      <c r="L274" s="21"/>
      <c r="M274" s="86"/>
    </row>
    <row r="275" spans="1:13" s="11" customFormat="1" ht="15.75">
      <c r="A275" s="18"/>
      <c r="B275" s="14" t="s">
        <v>167</v>
      </c>
      <c r="C275" s="19" t="s">
        <v>256</v>
      </c>
      <c r="D275" s="22" t="s">
        <v>133</v>
      </c>
      <c r="E275" s="22" t="s">
        <v>127</v>
      </c>
      <c r="F275" s="24" t="s">
        <v>166</v>
      </c>
      <c r="G275" s="21">
        <f>151741.7-876-41475+10000+8000+149.7+15100+23400</f>
        <v>166040.40000000002</v>
      </c>
      <c r="H275" s="21"/>
      <c r="K275" s="21">
        <f>151741.7-876-41475+10000+8000+149.7+15100+23400</f>
        <v>166040.40000000002</v>
      </c>
      <c r="L275" s="21"/>
      <c r="M275" s="86"/>
    </row>
    <row r="276" spans="1:13" s="11" customFormat="1" ht="15.75">
      <c r="A276" s="18"/>
      <c r="B276" s="14" t="s">
        <v>192</v>
      </c>
      <c r="C276" s="19" t="s">
        <v>257</v>
      </c>
      <c r="D276" s="22" t="s">
        <v>133</v>
      </c>
      <c r="E276" s="22" t="s">
        <v>127</v>
      </c>
      <c r="F276" s="24"/>
      <c r="G276" s="21">
        <f>G277</f>
        <v>2563.5</v>
      </c>
      <c r="H276" s="21"/>
      <c r="K276" s="21">
        <f>K277</f>
        <v>2563.5</v>
      </c>
      <c r="L276" s="21"/>
      <c r="M276" s="86"/>
    </row>
    <row r="277" spans="1:13" s="11" customFormat="1" ht="31.5">
      <c r="A277" s="18"/>
      <c r="B277" s="14" t="s">
        <v>157</v>
      </c>
      <c r="C277" s="19" t="s">
        <v>257</v>
      </c>
      <c r="D277" s="22" t="s">
        <v>133</v>
      </c>
      <c r="E277" s="22" t="s">
        <v>127</v>
      </c>
      <c r="F277" s="24" t="s">
        <v>156</v>
      </c>
      <c r="G277" s="21">
        <f>G278</f>
        <v>2563.5</v>
      </c>
      <c r="H277" s="21"/>
      <c r="K277" s="21">
        <f>K278</f>
        <v>2563.5</v>
      </c>
      <c r="L277" s="21"/>
      <c r="M277" s="86"/>
    </row>
    <row r="278" spans="1:13" s="11" customFormat="1" ht="15.75">
      <c r="A278" s="18"/>
      <c r="B278" s="14" t="s">
        <v>167</v>
      </c>
      <c r="C278" s="19" t="s">
        <v>257</v>
      </c>
      <c r="D278" s="22" t="s">
        <v>133</v>
      </c>
      <c r="E278" s="22" t="s">
        <v>127</v>
      </c>
      <c r="F278" s="24" t="s">
        <v>166</v>
      </c>
      <c r="G278" s="21">
        <v>2563.5</v>
      </c>
      <c r="H278" s="21"/>
      <c r="K278" s="21">
        <v>2563.5</v>
      </c>
      <c r="L278" s="21"/>
      <c r="M278" s="86"/>
    </row>
    <row r="279" spans="1:13" s="11" customFormat="1" ht="15.75">
      <c r="A279" s="18"/>
      <c r="B279" s="14" t="s">
        <v>177</v>
      </c>
      <c r="C279" s="19" t="s">
        <v>258</v>
      </c>
      <c r="D279" s="22" t="s">
        <v>133</v>
      </c>
      <c r="E279" s="22" t="s">
        <v>127</v>
      </c>
      <c r="F279" s="24"/>
      <c r="G279" s="21">
        <f>G280</f>
        <v>11718.9</v>
      </c>
      <c r="H279" s="21"/>
      <c r="K279" s="21">
        <f>K280</f>
        <v>11647.5</v>
      </c>
      <c r="L279" s="21"/>
      <c r="M279" s="86"/>
    </row>
    <row r="280" spans="1:13" s="11" customFormat="1" ht="31.5">
      <c r="A280" s="18"/>
      <c r="B280" s="14" t="s">
        <v>157</v>
      </c>
      <c r="C280" s="19" t="s">
        <v>258</v>
      </c>
      <c r="D280" s="22" t="s">
        <v>133</v>
      </c>
      <c r="E280" s="22" t="s">
        <v>127</v>
      </c>
      <c r="F280" s="24" t="s">
        <v>156</v>
      </c>
      <c r="G280" s="21">
        <f>G281</f>
        <v>11718.9</v>
      </c>
      <c r="H280" s="21"/>
      <c r="K280" s="21">
        <f>K281</f>
        <v>11647.5</v>
      </c>
      <c r="L280" s="21"/>
      <c r="M280" s="86"/>
    </row>
    <row r="281" spans="1:13" s="11" customFormat="1" ht="15.75">
      <c r="A281" s="18"/>
      <c r="B281" s="14" t="s">
        <v>167</v>
      </c>
      <c r="C281" s="19" t="s">
        <v>258</v>
      </c>
      <c r="D281" s="22" t="s">
        <v>133</v>
      </c>
      <c r="E281" s="22" t="s">
        <v>127</v>
      </c>
      <c r="F281" s="24" t="s">
        <v>166</v>
      </c>
      <c r="G281" s="21">
        <f>10740-2000+21.5-80+3275-237.6</f>
        <v>11718.9</v>
      </c>
      <c r="H281" s="21"/>
      <c r="K281" s="21">
        <v>11647.5</v>
      </c>
      <c r="L281" s="21"/>
      <c r="M281" s="86"/>
    </row>
    <row r="282" spans="1:13" s="11" customFormat="1" ht="31.5">
      <c r="A282" s="18"/>
      <c r="B282" s="49" t="s">
        <v>47</v>
      </c>
      <c r="C282" s="43" t="s">
        <v>255</v>
      </c>
      <c r="D282" s="39" t="s">
        <v>133</v>
      </c>
      <c r="E282" s="39" t="s">
        <v>139</v>
      </c>
      <c r="F282" s="39"/>
      <c r="G282" s="47">
        <f>G283</f>
        <v>34120.4</v>
      </c>
      <c r="H282" s="47">
        <f>H283</f>
        <v>9899</v>
      </c>
      <c r="K282" s="47">
        <f>K283</f>
        <v>34120.4</v>
      </c>
      <c r="L282" s="47">
        <f>L283</f>
        <v>9899</v>
      </c>
      <c r="M282" s="86"/>
    </row>
    <row r="283" spans="1:13" s="11" customFormat="1" ht="15.75">
      <c r="A283" s="18"/>
      <c r="B283" s="14" t="s">
        <v>400</v>
      </c>
      <c r="C283" s="19" t="s">
        <v>255</v>
      </c>
      <c r="D283" s="22" t="s">
        <v>133</v>
      </c>
      <c r="E283" s="22" t="s">
        <v>125</v>
      </c>
      <c r="F283" s="39"/>
      <c r="G283" s="47">
        <f>G289+G284+G296</f>
        <v>34120.4</v>
      </c>
      <c r="H283" s="47">
        <f>H289+H284+H296</f>
        <v>9899</v>
      </c>
      <c r="K283" s="47">
        <f>K289+K284+K296</f>
        <v>34120.4</v>
      </c>
      <c r="L283" s="47">
        <f>L289+L284+L296</f>
        <v>9899</v>
      </c>
      <c r="M283" s="86"/>
    </row>
    <row r="284" spans="1:13" s="11" customFormat="1" ht="31.5">
      <c r="A284" s="18"/>
      <c r="B284" s="14" t="s">
        <v>360</v>
      </c>
      <c r="C284" s="19" t="s">
        <v>98</v>
      </c>
      <c r="D284" s="22" t="s">
        <v>133</v>
      </c>
      <c r="E284" s="22" t="s">
        <v>125</v>
      </c>
      <c r="F284" s="39"/>
      <c r="G284" s="21">
        <f>G285+G287</f>
        <v>9899</v>
      </c>
      <c r="H284" s="21">
        <f>H285+H287</f>
        <v>9899</v>
      </c>
      <c r="K284" s="21">
        <f>K285+K287</f>
        <v>9899</v>
      </c>
      <c r="L284" s="21">
        <f>L285+L287</f>
        <v>9899</v>
      </c>
      <c r="M284" s="86"/>
    </row>
    <row r="285" spans="1:13" s="11" customFormat="1" ht="15.75">
      <c r="A285" s="18"/>
      <c r="B285" s="14" t="s">
        <v>159</v>
      </c>
      <c r="C285" s="19" t="s">
        <v>98</v>
      </c>
      <c r="D285" s="22" t="s">
        <v>133</v>
      </c>
      <c r="E285" s="22" t="s">
        <v>125</v>
      </c>
      <c r="F285" s="21" t="s">
        <v>158</v>
      </c>
      <c r="G285" s="21">
        <f>G286</f>
        <v>7885</v>
      </c>
      <c r="H285" s="21">
        <f>H286</f>
        <v>7885</v>
      </c>
      <c r="K285" s="21">
        <f>K286</f>
        <v>7885</v>
      </c>
      <c r="L285" s="21">
        <f>L286</f>
        <v>7885</v>
      </c>
      <c r="M285" s="86"/>
    </row>
    <row r="286" spans="1:13" s="11" customFormat="1" ht="31.5">
      <c r="A286" s="18"/>
      <c r="B286" s="14" t="s">
        <v>165</v>
      </c>
      <c r="C286" s="19" t="s">
        <v>98</v>
      </c>
      <c r="D286" s="22" t="s">
        <v>133</v>
      </c>
      <c r="E286" s="22" t="s">
        <v>125</v>
      </c>
      <c r="F286" s="21" t="s">
        <v>164</v>
      </c>
      <c r="G286" s="21">
        <f>9899-2014</f>
        <v>7885</v>
      </c>
      <c r="H286" s="21">
        <f>G286</f>
        <v>7885</v>
      </c>
      <c r="K286" s="21">
        <f>9899-2014</f>
        <v>7885</v>
      </c>
      <c r="L286" s="21">
        <f>K286</f>
        <v>7885</v>
      </c>
      <c r="M286" s="86"/>
    </row>
    <row r="287" spans="1:13" s="11" customFormat="1" ht="31.5">
      <c r="A287" s="18"/>
      <c r="B287" s="14" t="s">
        <v>157</v>
      </c>
      <c r="C287" s="19" t="s">
        <v>98</v>
      </c>
      <c r="D287" s="22" t="s">
        <v>133</v>
      </c>
      <c r="E287" s="22" t="s">
        <v>125</v>
      </c>
      <c r="F287" s="21" t="s">
        <v>156</v>
      </c>
      <c r="G287" s="21">
        <f>G288</f>
        <v>2014</v>
      </c>
      <c r="H287" s="21">
        <f>H288</f>
        <v>2014</v>
      </c>
      <c r="K287" s="21">
        <f>K288</f>
        <v>2014</v>
      </c>
      <c r="L287" s="21">
        <f>L288</f>
        <v>2014</v>
      </c>
      <c r="M287" s="86"/>
    </row>
    <row r="288" spans="1:13" s="11" customFormat="1" ht="15.75">
      <c r="A288" s="18"/>
      <c r="B288" s="14" t="s">
        <v>167</v>
      </c>
      <c r="C288" s="19" t="s">
        <v>98</v>
      </c>
      <c r="D288" s="22" t="s">
        <v>133</v>
      </c>
      <c r="E288" s="22" t="s">
        <v>125</v>
      </c>
      <c r="F288" s="21" t="s">
        <v>166</v>
      </c>
      <c r="G288" s="21">
        <v>2014</v>
      </c>
      <c r="H288" s="21">
        <v>2014</v>
      </c>
      <c r="K288" s="21">
        <v>2014</v>
      </c>
      <c r="L288" s="21">
        <v>2014</v>
      </c>
      <c r="M288" s="86"/>
    </row>
    <row r="289" spans="1:13" s="11" customFormat="1" ht="31.5">
      <c r="A289" s="18"/>
      <c r="B289" s="14" t="s">
        <v>97</v>
      </c>
      <c r="C289" s="19" t="s">
        <v>98</v>
      </c>
      <c r="D289" s="22" t="s">
        <v>133</v>
      </c>
      <c r="E289" s="22" t="s">
        <v>125</v>
      </c>
      <c r="F289" s="22"/>
      <c r="G289" s="21">
        <f>G290+G294+G292</f>
        <v>16000</v>
      </c>
      <c r="H289" s="65"/>
      <c r="K289" s="21">
        <f>K290+K294+K292</f>
        <v>16000</v>
      </c>
      <c r="L289" s="65"/>
      <c r="M289" s="86"/>
    </row>
    <row r="290" spans="1:13" s="11" customFormat="1" ht="15.75">
      <c r="A290" s="18"/>
      <c r="B290" s="14" t="s">
        <v>159</v>
      </c>
      <c r="C290" s="19" t="s">
        <v>98</v>
      </c>
      <c r="D290" s="22" t="s">
        <v>133</v>
      </c>
      <c r="E290" s="22" t="s">
        <v>125</v>
      </c>
      <c r="F290" s="21" t="s">
        <v>158</v>
      </c>
      <c r="G290" s="21">
        <f>G291</f>
        <v>8661.1</v>
      </c>
      <c r="H290" s="65"/>
      <c r="K290" s="21">
        <f>K291</f>
        <v>8661.1</v>
      </c>
      <c r="L290" s="65"/>
      <c r="M290" s="86"/>
    </row>
    <row r="291" spans="1:13" s="11" customFormat="1" ht="31.5">
      <c r="A291" s="18"/>
      <c r="B291" s="14" t="s">
        <v>165</v>
      </c>
      <c r="C291" s="19" t="s">
        <v>98</v>
      </c>
      <c r="D291" s="22" t="s">
        <v>133</v>
      </c>
      <c r="E291" s="22" t="s">
        <v>125</v>
      </c>
      <c r="F291" s="21" t="s">
        <v>164</v>
      </c>
      <c r="G291" s="21">
        <f>11000-1313.5-1025.4</f>
        <v>8661.1</v>
      </c>
      <c r="H291" s="65"/>
      <c r="K291" s="21">
        <f>11000-1313.5-1025.4</f>
        <v>8661.1</v>
      </c>
      <c r="L291" s="65"/>
      <c r="M291" s="86"/>
    </row>
    <row r="292" spans="1:13" s="11" customFormat="1" ht="15.75">
      <c r="A292" s="18"/>
      <c r="B292" s="14" t="s">
        <v>307</v>
      </c>
      <c r="C292" s="19" t="s">
        <v>98</v>
      </c>
      <c r="D292" s="22" t="s">
        <v>133</v>
      </c>
      <c r="E292" s="22" t="s">
        <v>125</v>
      </c>
      <c r="F292" s="21" t="s">
        <v>160</v>
      </c>
      <c r="G292" s="21">
        <f>G293</f>
        <v>1025.4</v>
      </c>
      <c r="H292" s="65"/>
      <c r="K292" s="21">
        <f>K293</f>
        <v>1025.4</v>
      </c>
      <c r="L292" s="65"/>
      <c r="M292" s="86"/>
    </row>
    <row r="293" spans="1:13" s="11" customFormat="1" ht="31.5">
      <c r="A293" s="18"/>
      <c r="B293" s="14" t="s">
        <v>163</v>
      </c>
      <c r="C293" s="19" t="s">
        <v>98</v>
      </c>
      <c r="D293" s="22" t="s">
        <v>133</v>
      </c>
      <c r="E293" s="22" t="s">
        <v>125</v>
      </c>
      <c r="F293" s="21" t="s">
        <v>161</v>
      </c>
      <c r="G293" s="21">
        <v>1025.4</v>
      </c>
      <c r="H293" s="65"/>
      <c r="K293" s="21">
        <v>1025.4</v>
      </c>
      <c r="L293" s="65"/>
      <c r="M293" s="86"/>
    </row>
    <row r="294" spans="1:13" s="11" customFormat="1" ht="31.5">
      <c r="A294" s="18"/>
      <c r="B294" s="14" t="s">
        <v>157</v>
      </c>
      <c r="C294" s="19" t="s">
        <v>98</v>
      </c>
      <c r="D294" s="22" t="s">
        <v>133</v>
      </c>
      <c r="E294" s="22" t="s">
        <v>125</v>
      </c>
      <c r="F294" s="21" t="s">
        <v>156</v>
      </c>
      <c r="G294" s="21">
        <f>G295</f>
        <v>6313.5</v>
      </c>
      <c r="H294" s="65"/>
      <c r="K294" s="21">
        <f>K295</f>
        <v>6313.5</v>
      </c>
      <c r="L294" s="65"/>
      <c r="M294" s="86"/>
    </row>
    <row r="295" spans="1:13" s="11" customFormat="1" ht="15.75">
      <c r="A295" s="18"/>
      <c r="B295" s="14" t="s">
        <v>167</v>
      </c>
      <c r="C295" s="19" t="s">
        <v>98</v>
      </c>
      <c r="D295" s="22" t="s">
        <v>133</v>
      </c>
      <c r="E295" s="22" t="s">
        <v>125</v>
      </c>
      <c r="F295" s="21" t="s">
        <v>166</v>
      </c>
      <c r="G295" s="21">
        <f>5000+1313.5</f>
        <v>6313.5</v>
      </c>
      <c r="H295" s="65"/>
      <c r="K295" s="21">
        <f>5000+1313.5</f>
        <v>6313.5</v>
      </c>
      <c r="L295" s="65"/>
      <c r="M295" s="86"/>
    </row>
    <row r="296" spans="1:13" s="11" customFormat="1" ht="31.5">
      <c r="A296" s="18"/>
      <c r="B296" s="14" t="s">
        <v>429</v>
      </c>
      <c r="C296" s="19" t="s">
        <v>428</v>
      </c>
      <c r="D296" s="22" t="s">
        <v>133</v>
      </c>
      <c r="E296" s="22" t="s">
        <v>125</v>
      </c>
      <c r="F296" s="39"/>
      <c r="G296" s="21">
        <f>G297+G299</f>
        <v>8221.400000000001</v>
      </c>
      <c r="H296" s="65"/>
      <c r="K296" s="21">
        <f>K297+K299</f>
        <v>8221.400000000001</v>
      </c>
      <c r="L296" s="65"/>
      <c r="M296" s="86"/>
    </row>
    <row r="297" spans="1:13" s="11" customFormat="1" ht="15.75">
      <c r="A297" s="18"/>
      <c r="B297" s="14" t="s">
        <v>159</v>
      </c>
      <c r="C297" s="19" t="s">
        <v>428</v>
      </c>
      <c r="D297" s="22" t="s">
        <v>133</v>
      </c>
      <c r="E297" s="22" t="s">
        <v>125</v>
      </c>
      <c r="F297" s="21" t="s">
        <v>158</v>
      </c>
      <c r="G297" s="21">
        <f>G298</f>
        <v>7327.400000000001</v>
      </c>
      <c r="H297" s="65"/>
      <c r="K297" s="21">
        <f>K298</f>
        <v>7327.400000000001</v>
      </c>
      <c r="L297" s="65"/>
      <c r="M297" s="86"/>
    </row>
    <row r="298" spans="1:13" s="11" customFormat="1" ht="31.5">
      <c r="A298" s="18"/>
      <c r="B298" s="14" t="s">
        <v>165</v>
      </c>
      <c r="C298" s="19" t="s">
        <v>428</v>
      </c>
      <c r="D298" s="22" t="s">
        <v>133</v>
      </c>
      <c r="E298" s="22" t="s">
        <v>125</v>
      </c>
      <c r="F298" s="21" t="s">
        <v>164</v>
      </c>
      <c r="G298" s="21">
        <f>5400+2900-1174.2+201.6</f>
        <v>7327.400000000001</v>
      </c>
      <c r="H298" s="65"/>
      <c r="K298" s="21">
        <f>5400+2900-1174.2+201.6</f>
        <v>7327.400000000001</v>
      </c>
      <c r="L298" s="65"/>
      <c r="M298" s="86"/>
    </row>
    <row r="299" spans="1:13" s="11" customFormat="1" ht="15.75">
      <c r="A299" s="18"/>
      <c r="B299" s="14" t="s">
        <v>307</v>
      </c>
      <c r="C299" s="19" t="s">
        <v>428</v>
      </c>
      <c r="D299" s="22" t="s">
        <v>133</v>
      </c>
      <c r="E299" s="22" t="s">
        <v>125</v>
      </c>
      <c r="F299" s="21" t="s">
        <v>160</v>
      </c>
      <c r="G299" s="21">
        <f>G300</f>
        <v>894</v>
      </c>
      <c r="H299" s="65"/>
      <c r="K299" s="21">
        <f>K300</f>
        <v>894</v>
      </c>
      <c r="L299" s="65"/>
      <c r="M299" s="86"/>
    </row>
    <row r="300" spans="1:13" s="11" customFormat="1" ht="31.5">
      <c r="A300" s="18"/>
      <c r="B300" s="14" t="s">
        <v>163</v>
      </c>
      <c r="C300" s="19" t="s">
        <v>428</v>
      </c>
      <c r="D300" s="22" t="s">
        <v>133</v>
      </c>
      <c r="E300" s="22" t="s">
        <v>125</v>
      </c>
      <c r="F300" s="21" t="s">
        <v>161</v>
      </c>
      <c r="G300" s="21">
        <f>1174.2-280.2</f>
        <v>894</v>
      </c>
      <c r="H300" s="65"/>
      <c r="K300" s="21">
        <f>1174.2-280.2</f>
        <v>894</v>
      </c>
      <c r="L300" s="65"/>
      <c r="M300" s="86"/>
    </row>
    <row r="301" spans="1:13" s="11" customFormat="1" ht="15.75">
      <c r="A301" s="18"/>
      <c r="B301" s="49" t="s">
        <v>236</v>
      </c>
      <c r="C301" s="43" t="s">
        <v>259</v>
      </c>
      <c r="D301" s="39" t="s">
        <v>133</v>
      </c>
      <c r="E301" s="39" t="s">
        <v>125</v>
      </c>
      <c r="F301" s="39"/>
      <c r="G301" s="47">
        <f>G302+G314+G322+G325</f>
        <v>79254.2</v>
      </c>
      <c r="H301" s="47">
        <f>H302+H314+H322+H325</f>
        <v>0</v>
      </c>
      <c r="K301" s="47">
        <f>K302+K314+K322+K325</f>
        <v>78614.7</v>
      </c>
      <c r="L301" s="47">
        <f>L302+L314+L322+L325</f>
        <v>0</v>
      </c>
      <c r="M301" s="86"/>
    </row>
    <row r="302" spans="1:13" s="11" customFormat="1" ht="15.75">
      <c r="A302" s="18"/>
      <c r="B302" s="18" t="s">
        <v>180</v>
      </c>
      <c r="C302" s="19" t="s">
        <v>260</v>
      </c>
      <c r="D302" s="22" t="s">
        <v>133</v>
      </c>
      <c r="E302" s="22" t="s">
        <v>125</v>
      </c>
      <c r="F302" s="22"/>
      <c r="G302" s="21">
        <f>G303+G306+G309</f>
        <v>28463.9</v>
      </c>
      <c r="H302" s="21"/>
      <c r="K302" s="21">
        <f>K303+K306+K309</f>
        <v>27960.8</v>
      </c>
      <c r="L302" s="21"/>
      <c r="M302" s="86"/>
    </row>
    <row r="303" spans="1:13" s="11" customFormat="1" ht="15.75">
      <c r="A303" s="18"/>
      <c r="B303" s="18" t="s">
        <v>181</v>
      </c>
      <c r="C303" s="24" t="s">
        <v>261</v>
      </c>
      <c r="D303" s="22" t="s">
        <v>133</v>
      </c>
      <c r="E303" s="22" t="s">
        <v>125</v>
      </c>
      <c r="F303" s="24"/>
      <c r="G303" s="21">
        <f>G304</f>
        <v>9401.8</v>
      </c>
      <c r="H303" s="21"/>
      <c r="K303" s="21">
        <f>K304</f>
        <v>9290.3</v>
      </c>
      <c r="L303" s="21"/>
      <c r="M303" s="86"/>
    </row>
    <row r="304" spans="1:13" s="11" customFormat="1" ht="63">
      <c r="A304" s="18"/>
      <c r="B304" s="14" t="s">
        <v>170</v>
      </c>
      <c r="C304" s="24" t="s">
        <v>261</v>
      </c>
      <c r="D304" s="22" t="s">
        <v>133</v>
      </c>
      <c r="E304" s="22" t="s">
        <v>125</v>
      </c>
      <c r="F304" s="24" t="s">
        <v>168</v>
      </c>
      <c r="G304" s="21">
        <f>G305</f>
        <v>9401.8</v>
      </c>
      <c r="H304" s="21"/>
      <c r="K304" s="21">
        <f>K305</f>
        <v>9290.3</v>
      </c>
      <c r="L304" s="21"/>
      <c r="M304" s="86"/>
    </row>
    <row r="305" spans="1:13" s="11" customFormat="1" ht="15.75">
      <c r="A305" s="18"/>
      <c r="B305" s="14" t="s">
        <v>171</v>
      </c>
      <c r="C305" s="24" t="s">
        <v>261</v>
      </c>
      <c r="D305" s="22" t="s">
        <v>133</v>
      </c>
      <c r="E305" s="22" t="s">
        <v>125</v>
      </c>
      <c r="F305" s="24" t="s">
        <v>169</v>
      </c>
      <c r="G305" s="21">
        <f>8816.8+685-100</f>
        <v>9401.8</v>
      </c>
      <c r="H305" s="21"/>
      <c r="K305" s="21">
        <v>9290.3</v>
      </c>
      <c r="L305" s="21"/>
      <c r="M305" s="86"/>
    </row>
    <row r="306" spans="1:13" s="11" customFormat="1" ht="15.75">
      <c r="A306" s="18"/>
      <c r="B306" s="18" t="s">
        <v>182</v>
      </c>
      <c r="C306" s="24" t="s">
        <v>262</v>
      </c>
      <c r="D306" s="22" t="s">
        <v>133</v>
      </c>
      <c r="E306" s="22" t="s">
        <v>125</v>
      </c>
      <c r="F306" s="24"/>
      <c r="G306" s="21">
        <f>G307</f>
        <v>15157.1</v>
      </c>
      <c r="H306" s="21"/>
      <c r="K306" s="21">
        <f>K307</f>
        <v>14960.7</v>
      </c>
      <c r="L306" s="21"/>
      <c r="M306" s="86"/>
    </row>
    <row r="307" spans="1:13" s="11" customFormat="1" ht="63">
      <c r="A307" s="18"/>
      <c r="B307" s="14" t="s">
        <v>170</v>
      </c>
      <c r="C307" s="24" t="s">
        <v>262</v>
      </c>
      <c r="D307" s="22" t="s">
        <v>133</v>
      </c>
      <c r="E307" s="22" t="s">
        <v>125</v>
      </c>
      <c r="F307" s="24" t="s">
        <v>168</v>
      </c>
      <c r="G307" s="21">
        <f>G308</f>
        <v>15157.1</v>
      </c>
      <c r="H307" s="21"/>
      <c r="K307" s="21">
        <f>K308</f>
        <v>14960.7</v>
      </c>
      <c r="L307" s="21"/>
      <c r="M307" s="86"/>
    </row>
    <row r="308" spans="1:13" s="11" customFormat="1" ht="15.75">
      <c r="A308" s="18"/>
      <c r="B308" s="14" t="s">
        <v>171</v>
      </c>
      <c r="C308" s="24" t="s">
        <v>262</v>
      </c>
      <c r="D308" s="22" t="s">
        <v>133</v>
      </c>
      <c r="E308" s="22" t="s">
        <v>125</v>
      </c>
      <c r="F308" s="24" t="s">
        <v>169</v>
      </c>
      <c r="G308" s="21">
        <f>13616.2+879.6+341.3+250+70</f>
        <v>15157.1</v>
      </c>
      <c r="H308" s="21"/>
      <c r="K308" s="21">
        <v>14960.7</v>
      </c>
      <c r="L308" s="21"/>
      <c r="M308" s="86"/>
    </row>
    <row r="309" spans="1:13" s="11" customFormat="1" ht="31.5">
      <c r="A309" s="18"/>
      <c r="B309" s="18" t="s">
        <v>183</v>
      </c>
      <c r="C309" s="24" t="s">
        <v>263</v>
      </c>
      <c r="D309" s="22" t="s">
        <v>133</v>
      </c>
      <c r="E309" s="22" t="s">
        <v>125</v>
      </c>
      <c r="F309" s="24"/>
      <c r="G309" s="21">
        <f>G310+G312</f>
        <v>3905</v>
      </c>
      <c r="H309" s="21"/>
      <c r="K309" s="21">
        <f>K310+K312</f>
        <v>3709.8</v>
      </c>
      <c r="L309" s="21"/>
      <c r="M309" s="86"/>
    </row>
    <row r="310" spans="1:13" s="11" customFormat="1" ht="15.75">
      <c r="A310" s="18"/>
      <c r="B310" s="53" t="s">
        <v>159</v>
      </c>
      <c r="C310" s="24" t="s">
        <v>263</v>
      </c>
      <c r="D310" s="22" t="s">
        <v>133</v>
      </c>
      <c r="E310" s="22" t="s">
        <v>125</v>
      </c>
      <c r="F310" s="24" t="s">
        <v>158</v>
      </c>
      <c r="G310" s="21">
        <f>G311</f>
        <v>2055</v>
      </c>
      <c r="H310" s="21"/>
      <c r="K310" s="21">
        <f>K311</f>
        <v>1859.9</v>
      </c>
      <c r="L310" s="21"/>
      <c r="M310" s="86"/>
    </row>
    <row r="311" spans="1:13" s="11" customFormat="1" ht="31.5">
      <c r="A311" s="18"/>
      <c r="B311" s="53" t="s">
        <v>165</v>
      </c>
      <c r="C311" s="24" t="s">
        <v>263</v>
      </c>
      <c r="D311" s="22" t="s">
        <v>133</v>
      </c>
      <c r="E311" s="22" t="s">
        <v>125</v>
      </c>
      <c r="F311" s="24" t="s">
        <v>164</v>
      </c>
      <c r="G311" s="21">
        <f>3025-970</f>
        <v>2055</v>
      </c>
      <c r="H311" s="21">
        <v>0</v>
      </c>
      <c r="K311" s="21">
        <v>1859.9</v>
      </c>
      <c r="L311" s="21">
        <v>0</v>
      </c>
      <c r="M311" s="86"/>
    </row>
    <row r="312" spans="1:13" s="11" customFormat="1" ht="15.75">
      <c r="A312" s="18"/>
      <c r="B312" s="18" t="s">
        <v>184</v>
      </c>
      <c r="C312" s="24" t="s">
        <v>263</v>
      </c>
      <c r="D312" s="22" t="s">
        <v>133</v>
      </c>
      <c r="E312" s="22" t="s">
        <v>125</v>
      </c>
      <c r="F312" s="24" t="s">
        <v>185</v>
      </c>
      <c r="G312" s="21">
        <f>G313</f>
        <v>1850</v>
      </c>
      <c r="H312" s="21">
        <f>H313+H314</f>
        <v>0</v>
      </c>
      <c r="K312" s="21">
        <f>K313</f>
        <v>1849.9</v>
      </c>
      <c r="L312" s="21">
        <f>L313+L314</f>
        <v>0</v>
      </c>
      <c r="M312" s="86"/>
    </row>
    <row r="313" spans="1:13" s="11" customFormat="1" ht="15.75">
      <c r="A313" s="18"/>
      <c r="B313" s="18" t="s">
        <v>186</v>
      </c>
      <c r="C313" s="24" t="s">
        <v>263</v>
      </c>
      <c r="D313" s="22" t="s">
        <v>133</v>
      </c>
      <c r="E313" s="22" t="s">
        <v>125</v>
      </c>
      <c r="F313" s="24" t="s">
        <v>187</v>
      </c>
      <c r="G313" s="21">
        <f>1850</f>
        <v>1850</v>
      </c>
      <c r="H313" s="21"/>
      <c r="K313" s="21">
        <v>1849.9</v>
      </c>
      <c r="L313" s="21"/>
      <c r="M313" s="86"/>
    </row>
    <row r="314" spans="1:13" s="11" customFormat="1" ht="15.75">
      <c r="A314" s="18"/>
      <c r="B314" s="24" t="s">
        <v>174</v>
      </c>
      <c r="C314" s="24" t="s">
        <v>73</v>
      </c>
      <c r="D314" s="22" t="s">
        <v>133</v>
      </c>
      <c r="E314" s="22" t="s">
        <v>125</v>
      </c>
      <c r="F314" s="24"/>
      <c r="G314" s="21">
        <f>G315</f>
        <v>31865.600000000002</v>
      </c>
      <c r="H314" s="21"/>
      <c r="K314" s="21">
        <f>K315</f>
        <v>31729.2</v>
      </c>
      <c r="L314" s="21"/>
      <c r="M314" s="86"/>
    </row>
    <row r="315" spans="1:13" s="11" customFormat="1" ht="78.75">
      <c r="A315" s="18"/>
      <c r="B315" s="24" t="s">
        <v>200</v>
      </c>
      <c r="C315" s="24" t="s">
        <v>264</v>
      </c>
      <c r="D315" s="22" t="s">
        <v>133</v>
      </c>
      <c r="E315" s="22" t="s">
        <v>125</v>
      </c>
      <c r="F315" s="24"/>
      <c r="G315" s="21">
        <f>G316+G318+G320</f>
        <v>31865.600000000002</v>
      </c>
      <c r="H315" s="21"/>
      <c r="K315" s="21">
        <f>K316+K318+K320</f>
        <v>31729.2</v>
      </c>
      <c r="L315" s="21"/>
      <c r="M315" s="86"/>
    </row>
    <row r="316" spans="1:13" s="11" customFormat="1" ht="63">
      <c r="A316" s="18"/>
      <c r="B316" s="14" t="s">
        <v>170</v>
      </c>
      <c r="C316" s="24" t="s">
        <v>264</v>
      </c>
      <c r="D316" s="22" t="s">
        <v>133</v>
      </c>
      <c r="E316" s="22" t="s">
        <v>125</v>
      </c>
      <c r="F316" s="19" t="s">
        <v>168</v>
      </c>
      <c r="G316" s="21">
        <f>G317</f>
        <v>27468.5</v>
      </c>
      <c r="H316" s="21"/>
      <c r="K316" s="21">
        <f>K317</f>
        <v>27468.5</v>
      </c>
      <c r="L316" s="21"/>
      <c r="M316" s="86"/>
    </row>
    <row r="317" spans="1:13" s="11" customFormat="1" ht="15.75">
      <c r="A317" s="18"/>
      <c r="B317" s="14" t="s">
        <v>189</v>
      </c>
      <c r="C317" s="24" t="s">
        <v>264</v>
      </c>
      <c r="D317" s="22" t="s">
        <v>133</v>
      </c>
      <c r="E317" s="22" t="s">
        <v>125</v>
      </c>
      <c r="F317" s="19" t="s">
        <v>190</v>
      </c>
      <c r="G317" s="21">
        <f>26599.5+869</f>
        <v>27468.5</v>
      </c>
      <c r="H317" s="21"/>
      <c r="K317" s="21">
        <f>26599.5+869</f>
        <v>27468.5</v>
      </c>
      <c r="L317" s="21"/>
      <c r="M317" s="86"/>
    </row>
    <row r="318" spans="1:13" s="11" customFormat="1" ht="15.75">
      <c r="A318" s="18"/>
      <c r="B318" s="53" t="s">
        <v>159</v>
      </c>
      <c r="C318" s="24" t="s">
        <v>264</v>
      </c>
      <c r="D318" s="22" t="s">
        <v>133</v>
      </c>
      <c r="E318" s="22" t="s">
        <v>125</v>
      </c>
      <c r="F318" s="19" t="s">
        <v>158</v>
      </c>
      <c r="G318" s="21">
        <f>G319</f>
        <v>4396.200000000001</v>
      </c>
      <c r="H318" s="21"/>
      <c r="K318" s="21">
        <f>K319</f>
        <v>4260.4</v>
      </c>
      <c r="L318" s="21"/>
      <c r="M318" s="86"/>
    </row>
    <row r="319" spans="1:13" s="11" customFormat="1" ht="31.5">
      <c r="A319" s="18"/>
      <c r="B319" s="53" t="s">
        <v>165</v>
      </c>
      <c r="C319" s="24" t="s">
        <v>264</v>
      </c>
      <c r="D319" s="22" t="s">
        <v>133</v>
      </c>
      <c r="E319" s="22" t="s">
        <v>125</v>
      </c>
      <c r="F319" s="19" t="s">
        <v>164</v>
      </c>
      <c r="G319" s="21">
        <f>5236.1-839.9</f>
        <v>4396.200000000001</v>
      </c>
      <c r="H319" s="21"/>
      <c r="K319" s="21">
        <v>4260.4</v>
      </c>
      <c r="L319" s="21"/>
      <c r="M319" s="86"/>
    </row>
    <row r="320" spans="1:13" s="11" customFormat="1" ht="15.75">
      <c r="A320" s="18"/>
      <c r="B320" s="61" t="s">
        <v>184</v>
      </c>
      <c r="C320" s="24" t="s">
        <v>264</v>
      </c>
      <c r="D320" s="22" t="s">
        <v>133</v>
      </c>
      <c r="E320" s="22" t="s">
        <v>125</v>
      </c>
      <c r="F320" s="19" t="s">
        <v>185</v>
      </c>
      <c r="G320" s="21">
        <f>G321</f>
        <v>0.8999999999999986</v>
      </c>
      <c r="H320" s="21"/>
      <c r="K320" s="21">
        <f>K321</f>
        <v>0.3</v>
      </c>
      <c r="L320" s="21"/>
      <c r="M320" s="86"/>
    </row>
    <row r="321" spans="1:13" s="11" customFormat="1" ht="15.75">
      <c r="A321" s="18"/>
      <c r="B321" s="61" t="s">
        <v>186</v>
      </c>
      <c r="C321" s="24" t="s">
        <v>264</v>
      </c>
      <c r="D321" s="22" t="s">
        <v>133</v>
      </c>
      <c r="E321" s="22" t="s">
        <v>125</v>
      </c>
      <c r="F321" s="19" t="s">
        <v>187</v>
      </c>
      <c r="G321" s="21">
        <f>30-29.1</f>
        <v>0.8999999999999986</v>
      </c>
      <c r="H321" s="21"/>
      <c r="K321" s="21">
        <v>0.3</v>
      </c>
      <c r="L321" s="21"/>
      <c r="M321" s="86"/>
    </row>
    <row r="322" spans="1:13" s="11" customFormat="1" ht="31.5">
      <c r="A322" s="18"/>
      <c r="B322" s="14" t="s">
        <v>199</v>
      </c>
      <c r="C322" s="24" t="s">
        <v>265</v>
      </c>
      <c r="D322" s="22" t="s">
        <v>133</v>
      </c>
      <c r="E322" s="22" t="s">
        <v>125</v>
      </c>
      <c r="F322" s="24"/>
      <c r="G322" s="21">
        <f>G323</f>
        <v>17944.7</v>
      </c>
      <c r="H322" s="21"/>
      <c r="K322" s="21">
        <f>K323</f>
        <v>17944.7</v>
      </c>
      <c r="L322" s="21"/>
      <c r="M322" s="86"/>
    </row>
    <row r="323" spans="1:13" s="11" customFormat="1" ht="31.5">
      <c r="A323" s="18"/>
      <c r="B323" s="19" t="s">
        <v>157</v>
      </c>
      <c r="C323" s="24" t="s">
        <v>265</v>
      </c>
      <c r="D323" s="22" t="s">
        <v>133</v>
      </c>
      <c r="E323" s="22" t="s">
        <v>125</v>
      </c>
      <c r="F323" s="24" t="s">
        <v>156</v>
      </c>
      <c r="G323" s="21">
        <f>G324</f>
        <v>17944.7</v>
      </c>
      <c r="H323" s="21"/>
      <c r="K323" s="21">
        <f>K324</f>
        <v>17944.7</v>
      </c>
      <c r="L323" s="21"/>
      <c r="M323" s="86"/>
    </row>
    <row r="324" spans="1:13" s="11" customFormat="1" ht="15.75">
      <c r="A324" s="18"/>
      <c r="B324" s="14" t="s">
        <v>167</v>
      </c>
      <c r="C324" s="24" t="s">
        <v>265</v>
      </c>
      <c r="D324" s="22" t="s">
        <v>133</v>
      </c>
      <c r="E324" s="22" t="s">
        <v>125</v>
      </c>
      <c r="F324" s="24" t="s">
        <v>166</v>
      </c>
      <c r="G324" s="21">
        <f>16925+870+149.7</f>
        <v>17944.7</v>
      </c>
      <c r="H324" s="21"/>
      <c r="K324" s="21">
        <f>16925+870+149.7</f>
        <v>17944.7</v>
      </c>
      <c r="L324" s="21"/>
      <c r="M324" s="86"/>
    </row>
    <row r="325" spans="1:13" s="11" customFormat="1" ht="15.75">
      <c r="A325" s="18"/>
      <c r="B325" s="14" t="s">
        <v>192</v>
      </c>
      <c r="C325" s="24" t="s">
        <v>266</v>
      </c>
      <c r="D325" s="22" t="s">
        <v>133</v>
      </c>
      <c r="E325" s="22" t="s">
        <v>125</v>
      </c>
      <c r="F325" s="24"/>
      <c r="G325" s="21">
        <f>G326</f>
        <v>980</v>
      </c>
      <c r="H325" s="21"/>
      <c r="K325" s="21">
        <f>K326</f>
        <v>980</v>
      </c>
      <c r="L325" s="21"/>
      <c r="M325" s="86"/>
    </row>
    <row r="326" spans="1:13" s="11" customFormat="1" ht="31.5">
      <c r="A326" s="18"/>
      <c r="B326" s="19" t="s">
        <v>157</v>
      </c>
      <c r="C326" s="24" t="s">
        <v>266</v>
      </c>
      <c r="D326" s="22" t="s">
        <v>133</v>
      </c>
      <c r="E326" s="22" t="s">
        <v>125</v>
      </c>
      <c r="F326" s="24" t="s">
        <v>156</v>
      </c>
      <c r="G326" s="21">
        <f>G327</f>
        <v>980</v>
      </c>
      <c r="H326" s="21"/>
      <c r="K326" s="21">
        <f>K327</f>
        <v>980</v>
      </c>
      <c r="L326" s="21"/>
      <c r="M326" s="86"/>
    </row>
    <row r="327" spans="1:13" s="11" customFormat="1" ht="15.75">
      <c r="A327" s="18"/>
      <c r="B327" s="14" t="s">
        <v>167</v>
      </c>
      <c r="C327" s="24" t="s">
        <v>266</v>
      </c>
      <c r="D327" s="22" t="s">
        <v>133</v>
      </c>
      <c r="E327" s="22" t="s">
        <v>125</v>
      </c>
      <c r="F327" s="24" t="s">
        <v>166</v>
      </c>
      <c r="G327" s="21">
        <f>3750-400-2370</f>
        <v>980</v>
      </c>
      <c r="H327" s="21"/>
      <c r="K327" s="21">
        <f>3750-400-2370</f>
        <v>980</v>
      </c>
      <c r="L327" s="21"/>
      <c r="M327" s="86"/>
    </row>
    <row r="328" spans="1:13" s="11" customFormat="1" ht="94.5">
      <c r="A328" s="26">
        <v>4</v>
      </c>
      <c r="B328" s="32" t="s">
        <v>339</v>
      </c>
      <c r="C328" s="41" t="s">
        <v>321</v>
      </c>
      <c r="D328" s="22"/>
      <c r="E328" s="22"/>
      <c r="F328" s="24"/>
      <c r="G328" s="17">
        <f>G329</f>
        <v>21929.4</v>
      </c>
      <c r="H328" s="17">
        <f>H329</f>
        <v>337.6</v>
      </c>
      <c r="K328" s="17">
        <f>K329</f>
        <v>20286.499999999996</v>
      </c>
      <c r="L328" s="17">
        <f>L329</f>
        <v>337.6</v>
      </c>
      <c r="M328" s="31">
        <f>K328/G328*100</f>
        <v>92.50823095935135</v>
      </c>
    </row>
    <row r="329" spans="1:13" s="11" customFormat="1" ht="31.5">
      <c r="A329" s="18"/>
      <c r="B329" s="14" t="s">
        <v>320</v>
      </c>
      <c r="C329" s="24" t="s">
        <v>322</v>
      </c>
      <c r="D329" s="22"/>
      <c r="E329" s="22"/>
      <c r="F329" s="24"/>
      <c r="G329" s="21">
        <f>G330+G332+G341+G334+G338</f>
        <v>21929.4</v>
      </c>
      <c r="H329" s="21">
        <f>H330+H332+H341+H334</f>
        <v>337.6</v>
      </c>
      <c r="K329" s="21">
        <f>K330+K332+K341+K334+K338</f>
        <v>20286.499999999996</v>
      </c>
      <c r="L329" s="21">
        <f>L330+L332+L341+L334</f>
        <v>337.6</v>
      </c>
      <c r="M329" s="86"/>
    </row>
    <row r="330" spans="1:13" s="11" customFormat="1" ht="15.75">
      <c r="A330" s="18"/>
      <c r="B330" s="18" t="s">
        <v>159</v>
      </c>
      <c r="C330" s="24" t="s">
        <v>322</v>
      </c>
      <c r="D330" s="22" t="s">
        <v>126</v>
      </c>
      <c r="E330" s="22" t="s">
        <v>129</v>
      </c>
      <c r="F330" s="24" t="s">
        <v>158</v>
      </c>
      <c r="G330" s="21">
        <f>G331</f>
        <v>17780.600000000002</v>
      </c>
      <c r="H330" s="21"/>
      <c r="K330" s="21">
        <f>K331</f>
        <v>16299.6</v>
      </c>
      <c r="L330" s="21"/>
      <c r="M330" s="86"/>
    </row>
    <row r="331" spans="1:13" s="11" customFormat="1" ht="31.5">
      <c r="A331" s="18"/>
      <c r="B331" s="18" t="s">
        <v>165</v>
      </c>
      <c r="C331" s="24" t="s">
        <v>322</v>
      </c>
      <c r="D331" s="22" t="s">
        <v>126</v>
      </c>
      <c r="E331" s="22" t="s">
        <v>129</v>
      </c>
      <c r="F331" s="24" t="s">
        <v>164</v>
      </c>
      <c r="G331" s="21">
        <f>21757.7-119-1500-348.1-2010</f>
        <v>17780.600000000002</v>
      </c>
      <c r="H331" s="21"/>
      <c r="K331" s="21">
        <v>16299.6</v>
      </c>
      <c r="L331" s="21"/>
      <c r="M331" s="86"/>
    </row>
    <row r="332" spans="1:13" s="11" customFormat="1" ht="15.75">
      <c r="A332" s="18"/>
      <c r="B332" s="18" t="s">
        <v>159</v>
      </c>
      <c r="C332" s="24" t="s">
        <v>322</v>
      </c>
      <c r="D332" s="22" t="s">
        <v>126</v>
      </c>
      <c r="E332" s="22" t="s">
        <v>136</v>
      </c>
      <c r="F332" s="24" t="s">
        <v>158</v>
      </c>
      <c r="G332" s="21">
        <f>G333</f>
        <v>2722.2000000000003</v>
      </c>
      <c r="H332" s="21"/>
      <c r="K332" s="21">
        <f>K333</f>
        <v>2580.2</v>
      </c>
      <c r="L332" s="21"/>
      <c r="M332" s="86"/>
    </row>
    <row r="333" spans="1:13" s="11" customFormat="1" ht="31.5">
      <c r="A333" s="18"/>
      <c r="B333" s="18" t="s">
        <v>165</v>
      </c>
      <c r="C333" s="24" t="s">
        <v>322</v>
      </c>
      <c r="D333" s="22" t="s">
        <v>126</v>
      </c>
      <c r="E333" s="22" t="s">
        <v>136</v>
      </c>
      <c r="F333" s="24" t="s">
        <v>164</v>
      </c>
      <c r="G333" s="21">
        <f>1745.3+162+445+37.5+350-17.6</f>
        <v>2722.2000000000003</v>
      </c>
      <c r="H333" s="21"/>
      <c r="K333" s="21">
        <v>2580.2</v>
      </c>
      <c r="L333" s="21"/>
      <c r="M333" s="86"/>
    </row>
    <row r="334" spans="1:13" s="11" customFormat="1" ht="15.75">
      <c r="A334" s="18"/>
      <c r="B334" s="18" t="s">
        <v>438</v>
      </c>
      <c r="C334" s="24" t="s">
        <v>622</v>
      </c>
      <c r="D334" s="22" t="s">
        <v>129</v>
      </c>
      <c r="E334" s="22" t="s">
        <v>134</v>
      </c>
      <c r="F334" s="24"/>
      <c r="G334" s="75">
        <f aca="true" t="shared" si="2" ref="G334:H336">G335</f>
        <v>337.6</v>
      </c>
      <c r="H334" s="21">
        <f t="shared" si="2"/>
        <v>337.6</v>
      </c>
      <c r="K334" s="75">
        <f aca="true" t="shared" si="3" ref="K334:L336">K335</f>
        <v>337.6</v>
      </c>
      <c r="L334" s="21">
        <f t="shared" si="3"/>
        <v>337.6</v>
      </c>
      <c r="M334" s="86"/>
    </row>
    <row r="335" spans="1:13" s="11" customFormat="1" ht="47.25">
      <c r="A335" s="18"/>
      <c r="B335" s="18" t="s">
        <v>439</v>
      </c>
      <c r="C335" s="24" t="s">
        <v>622</v>
      </c>
      <c r="D335" s="22" t="s">
        <v>129</v>
      </c>
      <c r="E335" s="22" t="s">
        <v>134</v>
      </c>
      <c r="F335" s="24"/>
      <c r="G335" s="75">
        <f t="shared" si="2"/>
        <v>337.6</v>
      </c>
      <c r="H335" s="21">
        <f t="shared" si="2"/>
        <v>337.6</v>
      </c>
      <c r="K335" s="75">
        <f t="shared" si="3"/>
        <v>337.6</v>
      </c>
      <c r="L335" s="21">
        <f t="shared" si="3"/>
        <v>337.6</v>
      </c>
      <c r="M335" s="86"/>
    </row>
    <row r="336" spans="1:13" s="11" customFormat="1" ht="15.75">
      <c r="A336" s="18"/>
      <c r="B336" s="18" t="s">
        <v>159</v>
      </c>
      <c r="C336" s="24" t="s">
        <v>622</v>
      </c>
      <c r="D336" s="22" t="s">
        <v>129</v>
      </c>
      <c r="E336" s="22" t="s">
        <v>134</v>
      </c>
      <c r="F336" s="24" t="s">
        <v>158</v>
      </c>
      <c r="G336" s="75">
        <f t="shared" si="2"/>
        <v>337.6</v>
      </c>
      <c r="H336" s="21">
        <f t="shared" si="2"/>
        <v>337.6</v>
      </c>
      <c r="K336" s="75">
        <f t="shared" si="3"/>
        <v>337.6</v>
      </c>
      <c r="L336" s="21">
        <f t="shared" si="3"/>
        <v>337.6</v>
      </c>
      <c r="M336" s="86"/>
    </row>
    <row r="337" spans="1:13" s="11" customFormat="1" ht="31.5">
      <c r="A337" s="18"/>
      <c r="B337" s="18" t="s">
        <v>165</v>
      </c>
      <c r="C337" s="24" t="s">
        <v>622</v>
      </c>
      <c r="D337" s="22" t="s">
        <v>129</v>
      </c>
      <c r="E337" s="22" t="s">
        <v>134</v>
      </c>
      <c r="F337" s="24" t="s">
        <v>164</v>
      </c>
      <c r="G337" s="75">
        <v>337.6</v>
      </c>
      <c r="H337" s="21">
        <f>G337</f>
        <v>337.6</v>
      </c>
      <c r="K337" s="75">
        <v>337.6</v>
      </c>
      <c r="L337" s="21">
        <f>K337</f>
        <v>337.6</v>
      </c>
      <c r="M337" s="86"/>
    </row>
    <row r="338" spans="1:13" s="11" customFormat="1" ht="47.25">
      <c r="A338" s="18"/>
      <c r="B338" s="18" t="s">
        <v>440</v>
      </c>
      <c r="C338" s="24" t="s">
        <v>622</v>
      </c>
      <c r="D338" s="22" t="s">
        <v>129</v>
      </c>
      <c r="E338" s="22" t="s">
        <v>134</v>
      </c>
      <c r="F338" s="24"/>
      <c r="G338" s="75">
        <f>G339</f>
        <v>119</v>
      </c>
      <c r="H338" s="21"/>
      <c r="K338" s="75">
        <f>K339</f>
        <v>99.1</v>
      </c>
      <c r="L338" s="21"/>
      <c r="M338" s="86"/>
    </row>
    <row r="339" spans="1:13" s="11" customFormat="1" ht="18" customHeight="1">
      <c r="A339" s="18"/>
      <c r="B339" s="18" t="s">
        <v>159</v>
      </c>
      <c r="C339" s="24" t="s">
        <v>622</v>
      </c>
      <c r="D339" s="22" t="s">
        <v>129</v>
      </c>
      <c r="E339" s="22" t="s">
        <v>134</v>
      </c>
      <c r="F339" s="24" t="s">
        <v>158</v>
      </c>
      <c r="G339" s="75">
        <f>G340</f>
        <v>119</v>
      </c>
      <c r="H339" s="21"/>
      <c r="K339" s="75">
        <f>K340</f>
        <v>99.1</v>
      </c>
      <c r="L339" s="21"/>
      <c r="M339" s="86"/>
    </row>
    <row r="340" spans="1:13" s="11" customFormat="1" ht="31.5">
      <c r="A340" s="18"/>
      <c r="B340" s="18" t="s">
        <v>165</v>
      </c>
      <c r="C340" s="24" t="s">
        <v>622</v>
      </c>
      <c r="D340" s="22" t="s">
        <v>129</v>
      </c>
      <c r="E340" s="22" t="s">
        <v>134</v>
      </c>
      <c r="F340" s="24" t="s">
        <v>164</v>
      </c>
      <c r="G340" s="75">
        <f>119</f>
        <v>119</v>
      </c>
      <c r="H340" s="21"/>
      <c r="K340" s="75">
        <v>99.1</v>
      </c>
      <c r="L340" s="21"/>
      <c r="M340" s="86"/>
    </row>
    <row r="341" spans="1:13" s="11" customFormat="1" ht="15.75">
      <c r="A341" s="18"/>
      <c r="B341" s="18" t="s">
        <v>159</v>
      </c>
      <c r="C341" s="24" t="s">
        <v>322</v>
      </c>
      <c r="D341" s="22" t="s">
        <v>133</v>
      </c>
      <c r="E341" s="22" t="s">
        <v>125</v>
      </c>
      <c r="F341" s="24" t="s">
        <v>158</v>
      </c>
      <c r="G341" s="21">
        <f>G342</f>
        <v>970</v>
      </c>
      <c r="H341" s="21"/>
      <c r="K341" s="21">
        <f>K342</f>
        <v>970</v>
      </c>
      <c r="L341" s="21"/>
      <c r="M341" s="86"/>
    </row>
    <row r="342" spans="1:13" s="11" customFormat="1" ht="31.5">
      <c r="A342" s="18"/>
      <c r="B342" s="18" t="s">
        <v>165</v>
      </c>
      <c r="C342" s="24" t="s">
        <v>322</v>
      </c>
      <c r="D342" s="22" t="s">
        <v>133</v>
      </c>
      <c r="E342" s="22" t="s">
        <v>125</v>
      </c>
      <c r="F342" s="24" t="s">
        <v>164</v>
      </c>
      <c r="G342" s="21">
        <f>970</f>
        <v>970</v>
      </c>
      <c r="H342" s="21"/>
      <c r="K342" s="21">
        <f>970</f>
        <v>970</v>
      </c>
      <c r="L342" s="21"/>
      <c r="M342" s="86"/>
    </row>
    <row r="343" spans="1:13" s="11" customFormat="1" ht="63">
      <c r="A343" s="26">
        <v>5</v>
      </c>
      <c r="B343" s="32" t="s">
        <v>336</v>
      </c>
      <c r="C343" s="41" t="s">
        <v>268</v>
      </c>
      <c r="D343" s="22"/>
      <c r="E343" s="22"/>
      <c r="F343" s="19"/>
      <c r="G343" s="40">
        <f>G344</f>
        <v>179724.40000000002</v>
      </c>
      <c r="H343" s="40">
        <f>H344</f>
        <v>4435.7</v>
      </c>
      <c r="K343" s="40">
        <f>K344</f>
        <v>179642.90000000002</v>
      </c>
      <c r="L343" s="40">
        <f>L344</f>
        <v>4387.4</v>
      </c>
      <c r="M343" s="31">
        <f>K343/G343*100</f>
        <v>99.95465279060606</v>
      </c>
    </row>
    <row r="344" spans="1:13" s="11" customFormat="1" ht="15.75">
      <c r="A344" s="5"/>
      <c r="B344" s="18" t="s">
        <v>140</v>
      </c>
      <c r="C344" s="19" t="s">
        <v>268</v>
      </c>
      <c r="D344" s="22" t="s">
        <v>135</v>
      </c>
      <c r="E344" s="22" t="s">
        <v>139</v>
      </c>
      <c r="F344" s="19"/>
      <c r="G344" s="21">
        <f>G345</f>
        <v>179724.40000000002</v>
      </c>
      <c r="H344" s="21">
        <f>H345</f>
        <v>4435.7</v>
      </c>
      <c r="K344" s="21">
        <f>K345</f>
        <v>179642.90000000002</v>
      </c>
      <c r="L344" s="21">
        <f>L345</f>
        <v>4387.4</v>
      </c>
      <c r="M344" s="86"/>
    </row>
    <row r="345" spans="1:13" s="11" customFormat="1" ht="15.75">
      <c r="A345" s="5"/>
      <c r="B345" s="18" t="s">
        <v>147</v>
      </c>
      <c r="C345" s="19" t="s">
        <v>268</v>
      </c>
      <c r="D345" s="22" t="s">
        <v>135</v>
      </c>
      <c r="E345" s="22" t="s">
        <v>126</v>
      </c>
      <c r="F345" s="19"/>
      <c r="G345" s="21">
        <f>G346+G373</f>
        <v>179724.40000000002</v>
      </c>
      <c r="H345" s="21">
        <f>H346+H373</f>
        <v>4435.7</v>
      </c>
      <c r="K345" s="21">
        <f>K346+K373</f>
        <v>179642.90000000002</v>
      </c>
      <c r="L345" s="21">
        <f>L346+L373</f>
        <v>4387.4</v>
      </c>
      <c r="M345" s="86"/>
    </row>
    <row r="346" spans="1:13" s="11" customFormat="1" ht="15.75">
      <c r="A346" s="5"/>
      <c r="B346" s="37" t="s">
        <v>9</v>
      </c>
      <c r="C346" s="43" t="s">
        <v>267</v>
      </c>
      <c r="D346" s="39" t="s">
        <v>135</v>
      </c>
      <c r="E346" s="39" t="s">
        <v>126</v>
      </c>
      <c r="F346" s="45"/>
      <c r="G346" s="47">
        <f>G347+G366</f>
        <v>175961.40000000002</v>
      </c>
      <c r="H346" s="47">
        <f>H347+H366</f>
        <v>1537</v>
      </c>
      <c r="K346" s="47">
        <f>K347+K366</f>
        <v>175893.00000000003</v>
      </c>
      <c r="L346" s="47">
        <f>L347+L366</f>
        <v>1488.7</v>
      </c>
      <c r="M346" s="86"/>
    </row>
    <row r="347" spans="1:13" s="11" customFormat="1" ht="31.5">
      <c r="A347" s="5"/>
      <c r="B347" s="19" t="s">
        <v>12</v>
      </c>
      <c r="C347" s="19" t="s">
        <v>13</v>
      </c>
      <c r="D347" s="22" t="s">
        <v>135</v>
      </c>
      <c r="E347" s="22" t="s">
        <v>126</v>
      </c>
      <c r="F347" s="69"/>
      <c r="G347" s="47">
        <f>G348+G351+G357+G354+G363+G360</f>
        <v>169951.40000000002</v>
      </c>
      <c r="H347" s="47">
        <f>H348+H351+H357+H354+H363</f>
        <v>637</v>
      </c>
      <c r="K347" s="47">
        <f>K348+K351+K357+K354+K363+K360</f>
        <v>169883.00000000003</v>
      </c>
      <c r="L347" s="47">
        <f>L348+L351+L357+L354+L363</f>
        <v>588.7</v>
      </c>
      <c r="M347" s="86"/>
    </row>
    <row r="348" spans="1:13" s="11" customFormat="1" ht="15.75">
      <c r="A348" s="5"/>
      <c r="B348" s="19" t="s">
        <v>318</v>
      </c>
      <c r="C348" s="19" t="s">
        <v>14</v>
      </c>
      <c r="D348" s="22" t="s">
        <v>135</v>
      </c>
      <c r="E348" s="22" t="s">
        <v>126</v>
      </c>
      <c r="F348" s="45"/>
      <c r="G348" s="47">
        <f>G349</f>
        <v>4895.299999999999</v>
      </c>
      <c r="H348" s="21"/>
      <c r="K348" s="47">
        <f>K349</f>
        <v>4895.299999999999</v>
      </c>
      <c r="L348" s="21"/>
      <c r="M348" s="86"/>
    </row>
    <row r="349" spans="1:13" s="11" customFormat="1" ht="31.5">
      <c r="A349" s="5"/>
      <c r="B349" s="19" t="s">
        <v>157</v>
      </c>
      <c r="C349" s="19" t="s">
        <v>14</v>
      </c>
      <c r="D349" s="22" t="s">
        <v>135</v>
      </c>
      <c r="E349" s="22" t="s">
        <v>126</v>
      </c>
      <c r="F349" s="24" t="s">
        <v>156</v>
      </c>
      <c r="G349" s="21">
        <f>G350</f>
        <v>4895.299999999999</v>
      </c>
      <c r="H349" s="21"/>
      <c r="K349" s="21">
        <f>K350</f>
        <v>4895.299999999999</v>
      </c>
      <c r="L349" s="21"/>
      <c r="M349" s="86"/>
    </row>
    <row r="350" spans="1:13" s="11" customFormat="1" ht="15.75">
      <c r="A350" s="5"/>
      <c r="B350" s="14" t="s">
        <v>167</v>
      </c>
      <c r="C350" s="19" t="s">
        <v>14</v>
      </c>
      <c r="D350" s="22" t="s">
        <v>135</v>
      </c>
      <c r="E350" s="22" t="s">
        <v>126</v>
      </c>
      <c r="F350" s="24" t="s">
        <v>166</v>
      </c>
      <c r="G350" s="21">
        <f>3670.9+447+777.4</f>
        <v>4895.299999999999</v>
      </c>
      <c r="H350" s="21"/>
      <c r="K350" s="21">
        <f>3670.9+447+777.4</f>
        <v>4895.299999999999</v>
      </c>
      <c r="L350" s="21"/>
      <c r="M350" s="86"/>
    </row>
    <row r="351" spans="1:13" s="11" customFormat="1" ht="31.5">
      <c r="A351" s="5"/>
      <c r="B351" s="14" t="s">
        <v>317</v>
      </c>
      <c r="C351" s="19" t="s">
        <v>15</v>
      </c>
      <c r="D351" s="22" t="s">
        <v>135</v>
      </c>
      <c r="E351" s="22" t="s">
        <v>126</v>
      </c>
      <c r="F351" s="24"/>
      <c r="G351" s="47">
        <f>G352</f>
        <v>30045.4</v>
      </c>
      <c r="H351" s="21"/>
      <c r="K351" s="47">
        <f>K352</f>
        <v>30045.4</v>
      </c>
      <c r="L351" s="21"/>
      <c r="M351" s="86"/>
    </row>
    <row r="352" spans="1:13" s="11" customFormat="1" ht="31.5">
      <c r="A352" s="5"/>
      <c r="B352" s="14" t="s">
        <v>157</v>
      </c>
      <c r="C352" s="19" t="s">
        <v>15</v>
      </c>
      <c r="D352" s="22" t="s">
        <v>135</v>
      </c>
      <c r="E352" s="22" t="s">
        <v>126</v>
      </c>
      <c r="F352" s="24" t="s">
        <v>156</v>
      </c>
      <c r="G352" s="21">
        <f>G353</f>
        <v>30045.4</v>
      </c>
      <c r="H352" s="21"/>
      <c r="K352" s="21">
        <f>K353</f>
        <v>30045.4</v>
      </c>
      <c r="L352" s="21"/>
      <c r="M352" s="86"/>
    </row>
    <row r="353" spans="1:13" s="11" customFormat="1" ht="15.75">
      <c r="A353" s="5"/>
      <c r="B353" s="14" t="s">
        <v>213</v>
      </c>
      <c r="C353" s="19" t="s">
        <v>15</v>
      </c>
      <c r="D353" s="22" t="s">
        <v>135</v>
      </c>
      <c r="E353" s="22" t="s">
        <v>126</v>
      </c>
      <c r="F353" s="24" t="s">
        <v>214</v>
      </c>
      <c r="G353" s="21">
        <f>24676.4+920+4000+449</f>
        <v>30045.4</v>
      </c>
      <c r="H353" s="21"/>
      <c r="K353" s="21">
        <f>24676.4+920+4000+449</f>
        <v>30045.4</v>
      </c>
      <c r="L353" s="21"/>
      <c r="M353" s="86"/>
    </row>
    <row r="354" spans="1:13" s="11" customFormat="1" ht="15.75">
      <c r="A354" s="5"/>
      <c r="B354" s="19" t="s">
        <v>434</v>
      </c>
      <c r="C354" s="19" t="s">
        <v>433</v>
      </c>
      <c r="D354" s="22" t="s">
        <v>135</v>
      </c>
      <c r="E354" s="22" t="s">
        <v>126</v>
      </c>
      <c r="F354" s="24"/>
      <c r="G354" s="21">
        <f>G355</f>
        <v>980</v>
      </c>
      <c r="H354" s="21"/>
      <c r="K354" s="21">
        <f>K355</f>
        <v>980</v>
      </c>
      <c r="L354" s="21"/>
      <c r="M354" s="86"/>
    </row>
    <row r="355" spans="1:13" s="11" customFormat="1" ht="31.5">
      <c r="A355" s="5"/>
      <c r="B355" s="14" t="s">
        <v>157</v>
      </c>
      <c r="C355" s="19" t="s">
        <v>433</v>
      </c>
      <c r="D355" s="22" t="s">
        <v>135</v>
      </c>
      <c r="E355" s="22" t="s">
        <v>126</v>
      </c>
      <c r="F355" s="24" t="s">
        <v>156</v>
      </c>
      <c r="G355" s="21">
        <f>G356</f>
        <v>980</v>
      </c>
      <c r="H355" s="21"/>
      <c r="K355" s="21">
        <f>K356</f>
        <v>980</v>
      </c>
      <c r="L355" s="21"/>
      <c r="M355" s="86"/>
    </row>
    <row r="356" spans="1:13" s="11" customFormat="1" ht="15.75">
      <c r="A356" s="5"/>
      <c r="B356" s="14" t="s">
        <v>213</v>
      </c>
      <c r="C356" s="19" t="s">
        <v>433</v>
      </c>
      <c r="D356" s="22" t="s">
        <v>135</v>
      </c>
      <c r="E356" s="22" t="s">
        <v>126</v>
      </c>
      <c r="F356" s="24" t="s">
        <v>214</v>
      </c>
      <c r="G356" s="21">
        <f>480+500</f>
        <v>980</v>
      </c>
      <c r="H356" s="21"/>
      <c r="K356" s="21">
        <f>480+500</f>
        <v>980</v>
      </c>
      <c r="L356" s="21"/>
      <c r="M356" s="86"/>
    </row>
    <row r="357" spans="1:13" s="11" customFormat="1" ht="31.5">
      <c r="A357" s="5"/>
      <c r="B357" s="14" t="s">
        <v>43</v>
      </c>
      <c r="C357" s="19" t="s">
        <v>16</v>
      </c>
      <c r="D357" s="22" t="s">
        <v>135</v>
      </c>
      <c r="E357" s="22" t="s">
        <v>126</v>
      </c>
      <c r="F357" s="45"/>
      <c r="G357" s="47">
        <f>G358</f>
        <v>125762.70000000001</v>
      </c>
      <c r="H357" s="21"/>
      <c r="K357" s="47">
        <f>K358</f>
        <v>125762.70000000001</v>
      </c>
      <c r="L357" s="21"/>
      <c r="M357" s="86"/>
    </row>
    <row r="358" spans="1:13" s="11" customFormat="1" ht="31.5">
      <c r="A358" s="5"/>
      <c r="B358" s="19" t="s">
        <v>157</v>
      </c>
      <c r="C358" s="19" t="s">
        <v>16</v>
      </c>
      <c r="D358" s="22" t="s">
        <v>135</v>
      </c>
      <c r="E358" s="22" t="s">
        <v>126</v>
      </c>
      <c r="F358" s="19" t="s">
        <v>156</v>
      </c>
      <c r="G358" s="21">
        <f>G359</f>
        <v>125762.70000000001</v>
      </c>
      <c r="H358" s="40"/>
      <c r="K358" s="21">
        <f>K359</f>
        <v>125762.70000000001</v>
      </c>
      <c r="L358" s="40"/>
      <c r="M358" s="86"/>
    </row>
    <row r="359" spans="1:13" s="11" customFormat="1" ht="15.75">
      <c r="A359" s="5"/>
      <c r="B359" s="14" t="s">
        <v>167</v>
      </c>
      <c r="C359" s="19" t="s">
        <v>16</v>
      </c>
      <c r="D359" s="22" t="s">
        <v>135</v>
      </c>
      <c r="E359" s="22" t="s">
        <v>126</v>
      </c>
      <c r="F359" s="19">
        <v>610</v>
      </c>
      <c r="G359" s="21">
        <f>120329.7+7631+4733-7631+100+600</f>
        <v>125762.70000000001</v>
      </c>
      <c r="H359" s="40"/>
      <c r="K359" s="21">
        <f>120329.7+7631+4733-7631+100+600</f>
        <v>125762.70000000001</v>
      </c>
      <c r="L359" s="40"/>
      <c r="M359" s="86"/>
    </row>
    <row r="360" spans="1:13" s="11" customFormat="1" ht="15.75">
      <c r="A360" s="5"/>
      <c r="B360" s="14" t="s">
        <v>177</v>
      </c>
      <c r="C360" s="19" t="s">
        <v>608</v>
      </c>
      <c r="D360" s="22" t="s">
        <v>135</v>
      </c>
      <c r="E360" s="22" t="s">
        <v>126</v>
      </c>
      <c r="F360" s="19"/>
      <c r="G360" s="21">
        <f>G361</f>
        <v>7631</v>
      </c>
      <c r="H360" s="40"/>
      <c r="K360" s="21">
        <f>K361</f>
        <v>7610.9</v>
      </c>
      <c r="L360" s="40"/>
      <c r="M360" s="86"/>
    </row>
    <row r="361" spans="1:13" s="11" customFormat="1" ht="31.5">
      <c r="A361" s="5"/>
      <c r="B361" s="14" t="s">
        <v>157</v>
      </c>
      <c r="C361" s="19" t="s">
        <v>608</v>
      </c>
      <c r="D361" s="22" t="s">
        <v>135</v>
      </c>
      <c r="E361" s="22" t="s">
        <v>126</v>
      </c>
      <c r="F361" s="19" t="s">
        <v>156</v>
      </c>
      <c r="G361" s="21">
        <f>G362</f>
        <v>7631</v>
      </c>
      <c r="H361" s="40"/>
      <c r="K361" s="21">
        <f>K362</f>
        <v>7610.9</v>
      </c>
      <c r="L361" s="40"/>
      <c r="M361" s="86"/>
    </row>
    <row r="362" spans="1:13" s="11" customFormat="1" ht="15.75">
      <c r="A362" s="5"/>
      <c r="B362" s="14" t="s">
        <v>167</v>
      </c>
      <c r="C362" s="19" t="s">
        <v>608</v>
      </c>
      <c r="D362" s="22" t="s">
        <v>135</v>
      </c>
      <c r="E362" s="22" t="s">
        <v>126</v>
      </c>
      <c r="F362" s="19">
        <v>610</v>
      </c>
      <c r="G362" s="21">
        <f>2250-0.2-59.8+5500-59</f>
        <v>7631</v>
      </c>
      <c r="H362" s="40"/>
      <c r="K362" s="21">
        <v>7610.9</v>
      </c>
      <c r="L362" s="40"/>
      <c r="M362" s="86"/>
    </row>
    <row r="363" spans="1:13" s="11" customFormat="1" ht="47.25">
      <c r="A363" s="5"/>
      <c r="B363" s="14" t="s">
        <v>529</v>
      </c>
      <c r="C363" s="19" t="s">
        <v>531</v>
      </c>
      <c r="D363" s="22" t="s">
        <v>135</v>
      </c>
      <c r="E363" s="22" t="s">
        <v>126</v>
      </c>
      <c r="F363" s="19"/>
      <c r="G363" s="21">
        <f>G364</f>
        <v>637</v>
      </c>
      <c r="H363" s="21">
        <f>H364</f>
        <v>637</v>
      </c>
      <c r="K363" s="21">
        <f>K364</f>
        <v>588.7</v>
      </c>
      <c r="L363" s="21">
        <f>L364</f>
        <v>588.7</v>
      </c>
      <c r="M363" s="86"/>
    </row>
    <row r="364" spans="1:13" s="11" customFormat="1" ht="31.5">
      <c r="A364" s="5"/>
      <c r="B364" s="14" t="s">
        <v>157</v>
      </c>
      <c r="C364" s="19" t="s">
        <v>531</v>
      </c>
      <c r="D364" s="22" t="s">
        <v>135</v>
      </c>
      <c r="E364" s="22" t="s">
        <v>126</v>
      </c>
      <c r="F364" s="19" t="s">
        <v>156</v>
      </c>
      <c r="G364" s="21">
        <f>G365</f>
        <v>637</v>
      </c>
      <c r="H364" s="21">
        <f>H365</f>
        <v>637</v>
      </c>
      <c r="K364" s="21">
        <f>K365</f>
        <v>588.7</v>
      </c>
      <c r="L364" s="21">
        <f>L365</f>
        <v>588.7</v>
      </c>
      <c r="M364" s="86"/>
    </row>
    <row r="365" spans="1:13" s="11" customFormat="1" ht="15.75">
      <c r="A365" s="5"/>
      <c r="B365" s="14" t="s">
        <v>167</v>
      </c>
      <c r="C365" s="19" t="s">
        <v>531</v>
      </c>
      <c r="D365" s="22" t="s">
        <v>135</v>
      </c>
      <c r="E365" s="22" t="s">
        <v>126</v>
      </c>
      <c r="F365" s="19">
        <v>610</v>
      </c>
      <c r="G365" s="21">
        <f>480+157</f>
        <v>637</v>
      </c>
      <c r="H365" s="21">
        <f>G365</f>
        <v>637</v>
      </c>
      <c r="K365" s="21">
        <v>588.7</v>
      </c>
      <c r="L365" s="21">
        <f>K365</f>
        <v>588.7</v>
      </c>
      <c r="M365" s="86"/>
    </row>
    <row r="366" spans="1:13" s="11" customFormat="1" ht="31.5">
      <c r="A366" s="5"/>
      <c r="B366" s="19" t="s">
        <v>10</v>
      </c>
      <c r="C366" s="19" t="s">
        <v>11</v>
      </c>
      <c r="D366" s="22" t="s">
        <v>135</v>
      </c>
      <c r="E366" s="22" t="s">
        <v>126</v>
      </c>
      <c r="F366" s="19"/>
      <c r="G366" s="21">
        <f>G367+G370</f>
        <v>6010</v>
      </c>
      <c r="H366" s="21">
        <f>H367+H370</f>
        <v>900</v>
      </c>
      <c r="K366" s="21">
        <f>K367+K370</f>
        <v>6010</v>
      </c>
      <c r="L366" s="21">
        <f>L367+L370</f>
        <v>900</v>
      </c>
      <c r="M366" s="86"/>
    </row>
    <row r="367" spans="1:13" s="11" customFormat="1" ht="15.75">
      <c r="A367" s="5"/>
      <c r="B367" s="19" t="s">
        <v>434</v>
      </c>
      <c r="C367" s="19" t="s">
        <v>11</v>
      </c>
      <c r="D367" s="22" t="s">
        <v>135</v>
      </c>
      <c r="E367" s="22" t="s">
        <v>126</v>
      </c>
      <c r="F367" s="45"/>
      <c r="G367" s="47">
        <f>G368</f>
        <v>5110</v>
      </c>
      <c r="H367" s="21"/>
      <c r="K367" s="47">
        <f>K368</f>
        <v>5110</v>
      </c>
      <c r="L367" s="21"/>
      <c r="M367" s="86"/>
    </row>
    <row r="368" spans="1:13" s="11" customFormat="1" ht="31.5">
      <c r="A368" s="5"/>
      <c r="B368" s="19" t="s">
        <v>157</v>
      </c>
      <c r="C368" s="19" t="s">
        <v>11</v>
      </c>
      <c r="D368" s="22" t="s">
        <v>135</v>
      </c>
      <c r="E368" s="22" t="s">
        <v>126</v>
      </c>
      <c r="F368" s="24" t="s">
        <v>156</v>
      </c>
      <c r="G368" s="21">
        <f>G369</f>
        <v>5110</v>
      </c>
      <c r="H368" s="21"/>
      <c r="K368" s="21">
        <f>K369</f>
        <v>5110</v>
      </c>
      <c r="L368" s="21"/>
      <c r="M368" s="86"/>
    </row>
    <row r="369" spans="1:13" s="11" customFormat="1" ht="15.75">
      <c r="A369" s="5"/>
      <c r="B369" s="19" t="s">
        <v>167</v>
      </c>
      <c r="C369" s="19" t="s">
        <v>11</v>
      </c>
      <c r="D369" s="22" t="s">
        <v>135</v>
      </c>
      <c r="E369" s="22" t="s">
        <v>126</v>
      </c>
      <c r="F369" s="24" t="s">
        <v>166</v>
      </c>
      <c r="G369" s="21">
        <f>4960+150</f>
        <v>5110</v>
      </c>
      <c r="H369" s="21"/>
      <c r="K369" s="21">
        <f>4960+150</f>
        <v>5110</v>
      </c>
      <c r="L369" s="21"/>
      <c r="M369" s="86"/>
    </row>
    <row r="370" spans="1:13" s="11" customFormat="1" ht="48" customHeight="1">
      <c r="A370" s="5"/>
      <c r="B370" s="19" t="s">
        <v>529</v>
      </c>
      <c r="C370" s="19" t="s">
        <v>530</v>
      </c>
      <c r="D370" s="22" t="s">
        <v>135</v>
      </c>
      <c r="E370" s="22" t="s">
        <v>126</v>
      </c>
      <c r="F370" s="24"/>
      <c r="G370" s="21">
        <f>G371</f>
        <v>900</v>
      </c>
      <c r="H370" s="21">
        <f>H371</f>
        <v>900</v>
      </c>
      <c r="K370" s="21">
        <f>K371</f>
        <v>900</v>
      </c>
      <c r="L370" s="21">
        <f>L371</f>
        <v>900</v>
      </c>
      <c r="M370" s="86"/>
    </row>
    <row r="371" spans="1:13" s="11" customFormat="1" ht="31.5">
      <c r="A371" s="5"/>
      <c r="B371" s="19" t="s">
        <v>157</v>
      </c>
      <c r="C371" s="19" t="s">
        <v>530</v>
      </c>
      <c r="D371" s="22" t="s">
        <v>135</v>
      </c>
      <c r="E371" s="22" t="s">
        <v>126</v>
      </c>
      <c r="F371" s="24" t="s">
        <v>156</v>
      </c>
      <c r="G371" s="21">
        <f>G372</f>
        <v>900</v>
      </c>
      <c r="H371" s="21">
        <f>H372</f>
        <v>900</v>
      </c>
      <c r="K371" s="21">
        <f>K372</f>
        <v>900</v>
      </c>
      <c r="L371" s="21">
        <f>L372</f>
        <v>900</v>
      </c>
      <c r="M371" s="86"/>
    </row>
    <row r="372" spans="1:13" s="11" customFormat="1" ht="15.75">
      <c r="A372" s="5"/>
      <c r="B372" s="19" t="s">
        <v>167</v>
      </c>
      <c r="C372" s="19" t="s">
        <v>530</v>
      </c>
      <c r="D372" s="22" t="s">
        <v>135</v>
      </c>
      <c r="E372" s="22" t="s">
        <v>126</v>
      </c>
      <c r="F372" s="24" t="s">
        <v>166</v>
      </c>
      <c r="G372" s="21">
        <v>900</v>
      </c>
      <c r="H372" s="21">
        <v>900</v>
      </c>
      <c r="K372" s="21">
        <v>900</v>
      </c>
      <c r="L372" s="21">
        <v>900</v>
      </c>
      <c r="M372" s="86"/>
    </row>
    <row r="373" spans="1:13" s="11" customFormat="1" ht="31.5">
      <c r="A373" s="5"/>
      <c r="B373" s="37" t="s">
        <v>532</v>
      </c>
      <c r="C373" s="19" t="s">
        <v>533</v>
      </c>
      <c r="D373" s="22" t="s">
        <v>135</v>
      </c>
      <c r="E373" s="22"/>
      <c r="F373" s="24"/>
      <c r="G373" s="75">
        <f>G380+G377+G374</f>
        <v>3762.9999999999995</v>
      </c>
      <c r="H373" s="75">
        <f>H380+H377</f>
        <v>2898.7</v>
      </c>
      <c r="K373" s="75">
        <f>K380+K377+K374</f>
        <v>3749.8999999999996</v>
      </c>
      <c r="L373" s="75">
        <f>L380+L377</f>
        <v>2898.7</v>
      </c>
      <c r="M373" s="86"/>
    </row>
    <row r="374" spans="1:13" s="11" customFormat="1" ht="19.5" customHeight="1">
      <c r="A374" s="5"/>
      <c r="B374" s="19" t="s">
        <v>177</v>
      </c>
      <c r="C374" s="19" t="s">
        <v>607</v>
      </c>
      <c r="D374" s="22" t="s">
        <v>135</v>
      </c>
      <c r="E374" s="22" t="s">
        <v>126</v>
      </c>
      <c r="F374" s="24"/>
      <c r="G374" s="21">
        <f>G375</f>
        <v>13.1</v>
      </c>
      <c r="H374" s="75"/>
      <c r="K374" s="21">
        <f>K375</f>
        <v>0</v>
      </c>
      <c r="L374" s="75"/>
      <c r="M374" s="86"/>
    </row>
    <row r="375" spans="1:13" s="11" customFormat="1" ht="31.5">
      <c r="A375" s="5"/>
      <c r="B375" s="19" t="s">
        <v>157</v>
      </c>
      <c r="C375" s="19" t="s">
        <v>607</v>
      </c>
      <c r="D375" s="22" t="s">
        <v>135</v>
      </c>
      <c r="E375" s="22" t="s">
        <v>126</v>
      </c>
      <c r="F375" s="24" t="s">
        <v>156</v>
      </c>
      <c r="G375" s="21">
        <f>G376</f>
        <v>13.1</v>
      </c>
      <c r="H375" s="75"/>
      <c r="K375" s="21">
        <f>K376</f>
        <v>0</v>
      </c>
      <c r="L375" s="75"/>
      <c r="M375" s="86"/>
    </row>
    <row r="376" spans="1:13" s="11" customFormat="1" ht="15.75">
      <c r="A376" s="5"/>
      <c r="B376" s="19" t="s">
        <v>167</v>
      </c>
      <c r="C376" s="19" t="s">
        <v>607</v>
      </c>
      <c r="D376" s="22" t="s">
        <v>135</v>
      </c>
      <c r="E376" s="22" t="s">
        <v>126</v>
      </c>
      <c r="F376" s="24" t="s">
        <v>166</v>
      </c>
      <c r="G376" s="21">
        <v>13.1</v>
      </c>
      <c r="H376" s="75"/>
      <c r="K376" s="21">
        <v>0</v>
      </c>
      <c r="L376" s="75"/>
      <c r="M376" s="86"/>
    </row>
    <row r="377" spans="1:13" s="11" customFormat="1" ht="47.25">
      <c r="A377" s="5"/>
      <c r="B377" s="19" t="s">
        <v>594</v>
      </c>
      <c r="C377" s="19" t="s">
        <v>613</v>
      </c>
      <c r="D377" s="22" t="s">
        <v>135</v>
      </c>
      <c r="E377" s="22" t="s">
        <v>150</v>
      </c>
      <c r="F377" s="24"/>
      <c r="G377" s="75">
        <f>G378</f>
        <v>2898.7</v>
      </c>
      <c r="H377" s="75">
        <f>H378</f>
        <v>2898.7</v>
      </c>
      <c r="K377" s="75">
        <f>K378</f>
        <v>2898.7</v>
      </c>
      <c r="L377" s="75">
        <f>L378</f>
        <v>2898.7</v>
      </c>
      <c r="M377" s="86"/>
    </row>
    <row r="378" spans="1:13" s="11" customFormat="1" ht="31.5">
      <c r="A378" s="5"/>
      <c r="B378" s="19" t="s">
        <v>157</v>
      </c>
      <c r="C378" s="19" t="s">
        <v>613</v>
      </c>
      <c r="D378" s="22" t="s">
        <v>135</v>
      </c>
      <c r="E378" s="22" t="s">
        <v>150</v>
      </c>
      <c r="F378" s="22" t="s">
        <v>156</v>
      </c>
      <c r="G378" s="75">
        <f>G379</f>
        <v>2898.7</v>
      </c>
      <c r="H378" s="75">
        <f>H379</f>
        <v>2898.7</v>
      </c>
      <c r="K378" s="75">
        <f>K379</f>
        <v>2898.7</v>
      </c>
      <c r="L378" s="75">
        <f>L379</f>
        <v>2898.7</v>
      </c>
      <c r="M378" s="86"/>
    </row>
    <row r="379" spans="1:13" s="11" customFormat="1" ht="15.75">
      <c r="A379" s="5"/>
      <c r="B379" s="19" t="s">
        <v>167</v>
      </c>
      <c r="C379" s="19" t="s">
        <v>613</v>
      </c>
      <c r="D379" s="22" t="s">
        <v>135</v>
      </c>
      <c r="E379" s="22" t="s">
        <v>150</v>
      </c>
      <c r="F379" s="22" t="s">
        <v>166</v>
      </c>
      <c r="G379" s="75">
        <f>3865-966.3</f>
        <v>2898.7</v>
      </c>
      <c r="H379" s="75">
        <f>G379</f>
        <v>2898.7</v>
      </c>
      <c r="K379" s="75">
        <f>3865-966.3</f>
        <v>2898.7</v>
      </c>
      <c r="L379" s="75">
        <f>K379</f>
        <v>2898.7</v>
      </c>
      <c r="M379" s="86"/>
    </row>
    <row r="380" spans="1:13" s="11" customFormat="1" ht="50.25" customHeight="1">
      <c r="A380" s="5"/>
      <c r="B380" s="19" t="s">
        <v>534</v>
      </c>
      <c r="C380" s="19" t="s">
        <v>613</v>
      </c>
      <c r="D380" s="22" t="s">
        <v>135</v>
      </c>
      <c r="E380" s="22" t="s">
        <v>150</v>
      </c>
      <c r="F380" s="24"/>
      <c r="G380" s="75">
        <f>G381</f>
        <v>851.2</v>
      </c>
      <c r="H380" s="21"/>
      <c r="K380" s="75">
        <f>K381</f>
        <v>851.2</v>
      </c>
      <c r="L380" s="21"/>
      <c r="M380" s="86"/>
    </row>
    <row r="381" spans="1:13" s="11" customFormat="1" ht="31.5">
      <c r="A381" s="5"/>
      <c r="B381" s="19" t="s">
        <v>157</v>
      </c>
      <c r="C381" s="19" t="s">
        <v>613</v>
      </c>
      <c r="D381" s="22" t="s">
        <v>135</v>
      </c>
      <c r="E381" s="22" t="s">
        <v>150</v>
      </c>
      <c r="F381" s="22" t="s">
        <v>156</v>
      </c>
      <c r="G381" s="75">
        <f>G382</f>
        <v>851.2</v>
      </c>
      <c r="H381" s="21"/>
      <c r="K381" s="75">
        <f>K382</f>
        <v>851.2</v>
      </c>
      <c r="L381" s="21"/>
      <c r="M381" s="86"/>
    </row>
    <row r="382" spans="1:13" s="11" customFormat="1" ht="15.75">
      <c r="A382" s="5"/>
      <c r="B382" s="19" t="s">
        <v>167</v>
      </c>
      <c r="C382" s="19" t="s">
        <v>613</v>
      </c>
      <c r="D382" s="22" t="s">
        <v>135</v>
      </c>
      <c r="E382" s="22" t="s">
        <v>150</v>
      </c>
      <c r="F382" s="22" t="s">
        <v>166</v>
      </c>
      <c r="G382" s="75">
        <f>1135-283.8</f>
        <v>851.2</v>
      </c>
      <c r="H382" s="21"/>
      <c r="K382" s="75">
        <f>1135-283.8</f>
        <v>851.2</v>
      </c>
      <c r="L382" s="21"/>
      <c r="M382" s="86"/>
    </row>
    <row r="383" spans="1:13" s="11" customFormat="1" ht="84.75" customHeight="1">
      <c r="A383" s="5">
        <v>6</v>
      </c>
      <c r="B383" s="32" t="s">
        <v>0</v>
      </c>
      <c r="C383" s="6" t="s">
        <v>269</v>
      </c>
      <c r="D383" s="59"/>
      <c r="E383" s="59"/>
      <c r="F383" s="6"/>
      <c r="G383" s="44">
        <f>G387+G390+G384+G395</f>
        <v>13224.6</v>
      </c>
      <c r="H383" s="44">
        <f>H387+H390+H384+H395</f>
        <v>10934.2</v>
      </c>
      <c r="K383" s="44">
        <f>K387+K390+K384+K395</f>
        <v>10268.099999999999</v>
      </c>
      <c r="L383" s="44">
        <f>L387+L390+L384+L395</f>
        <v>8078.7</v>
      </c>
      <c r="M383" s="31">
        <f>K383/G383*100</f>
        <v>77.64393630053081</v>
      </c>
    </row>
    <row r="384" spans="1:13" s="11" customFormat="1" ht="15.75">
      <c r="A384" s="5"/>
      <c r="B384" s="18" t="s">
        <v>138</v>
      </c>
      <c r="C384" s="24" t="s">
        <v>270</v>
      </c>
      <c r="D384" s="25" t="s">
        <v>129</v>
      </c>
      <c r="E384" s="25" t="s">
        <v>137</v>
      </c>
      <c r="F384" s="24"/>
      <c r="G384" s="30">
        <f>G385</f>
        <v>350</v>
      </c>
      <c r="H384" s="23"/>
      <c r="K384" s="30">
        <f>K385</f>
        <v>349.3</v>
      </c>
      <c r="L384" s="23"/>
      <c r="M384" s="86"/>
    </row>
    <row r="385" spans="1:13" s="11" customFormat="1" ht="15.75">
      <c r="A385" s="5"/>
      <c r="B385" s="18" t="s">
        <v>159</v>
      </c>
      <c r="C385" s="24" t="s">
        <v>270</v>
      </c>
      <c r="D385" s="25" t="s">
        <v>129</v>
      </c>
      <c r="E385" s="25" t="s">
        <v>137</v>
      </c>
      <c r="F385" s="24" t="s">
        <v>158</v>
      </c>
      <c r="G385" s="30">
        <f>G386</f>
        <v>350</v>
      </c>
      <c r="H385" s="23"/>
      <c r="K385" s="30">
        <f>K386</f>
        <v>349.3</v>
      </c>
      <c r="L385" s="23"/>
      <c r="M385" s="86"/>
    </row>
    <row r="386" spans="1:13" s="11" customFormat="1" ht="31.5">
      <c r="A386" s="5"/>
      <c r="B386" s="18" t="s">
        <v>165</v>
      </c>
      <c r="C386" s="24" t="s">
        <v>270</v>
      </c>
      <c r="D386" s="25" t="s">
        <v>129</v>
      </c>
      <c r="E386" s="25" t="s">
        <v>137</v>
      </c>
      <c r="F386" s="24" t="s">
        <v>164</v>
      </c>
      <c r="G386" s="30">
        <f>350</f>
        <v>350</v>
      </c>
      <c r="H386" s="23"/>
      <c r="K386" s="30">
        <v>349.3</v>
      </c>
      <c r="L386" s="23"/>
      <c r="M386" s="86"/>
    </row>
    <row r="387" spans="1:13" s="11" customFormat="1" ht="15.75">
      <c r="A387" s="5"/>
      <c r="B387" s="18" t="s">
        <v>142</v>
      </c>
      <c r="C387" s="24" t="s">
        <v>270</v>
      </c>
      <c r="D387" s="25" t="s">
        <v>136</v>
      </c>
      <c r="E387" s="25" t="s">
        <v>131</v>
      </c>
      <c r="F387" s="24"/>
      <c r="G387" s="30">
        <f>G388</f>
        <v>1307.2</v>
      </c>
      <c r="H387" s="23"/>
      <c r="K387" s="30">
        <f>K388</f>
        <v>1307.2</v>
      </c>
      <c r="L387" s="23"/>
      <c r="M387" s="86"/>
    </row>
    <row r="388" spans="1:13" s="11" customFormat="1" ht="15.75">
      <c r="A388" s="5"/>
      <c r="B388" s="18" t="s">
        <v>159</v>
      </c>
      <c r="C388" s="24" t="s">
        <v>270</v>
      </c>
      <c r="D388" s="25" t="s">
        <v>136</v>
      </c>
      <c r="E388" s="25" t="s">
        <v>131</v>
      </c>
      <c r="F388" s="24" t="s">
        <v>158</v>
      </c>
      <c r="G388" s="30">
        <f>G389</f>
        <v>1307.2</v>
      </c>
      <c r="H388" s="23"/>
      <c r="K388" s="30">
        <f>K389</f>
        <v>1307.2</v>
      </c>
      <c r="L388" s="23"/>
      <c r="M388" s="86"/>
    </row>
    <row r="389" spans="1:13" s="11" customFormat="1" ht="31.5">
      <c r="A389" s="5"/>
      <c r="B389" s="18" t="s">
        <v>165</v>
      </c>
      <c r="C389" s="24" t="s">
        <v>270</v>
      </c>
      <c r="D389" s="25" t="s">
        <v>136</v>
      </c>
      <c r="E389" s="25" t="s">
        <v>131</v>
      </c>
      <c r="F389" s="24" t="s">
        <v>164</v>
      </c>
      <c r="G389" s="30">
        <f>1500-192.8</f>
        <v>1307.2</v>
      </c>
      <c r="H389" s="23"/>
      <c r="K389" s="30">
        <f>1500-192.8</f>
        <v>1307.2</v>
      </c>
      <c r="L389" s="23"/>
      <c r="M389" s="86"/>
    </row>
    <row r="390" spans="1:13" s="11" customFormat="1" ht="63">
      <c r="A390" s="15"/>
      <c r="B390" s="18" t="s">
        <v>30</v>
      </c>
      <c r="C390" s="19" t="s">
        <v>364</v>
      </c>
      <c r="D390" s="19"/>
      <c r="E390" s="19"/>
      <c r="F390" s="19"/>
      <c r="G390" s="21">
        <f>G393+G391</f>
        <v>8778</v>
      </c>
      <c r="H390" s="21">
        <f>H393+H391</f>
        <v>8778</v>
      </c>
      <c r="K390" s="21">
        <f>K393+K391</f>
        <v>6263.9</v>
      </c>
      <c r="L390" s="21">
        <f>L393+L391</f>
        <v>6263.9</v>
      </c>
      <c r="M390" s="86"/>
    </row>
    <row r="391" spans="1:13" s="11" customFormat="1" ht="63">
      <c r="A391" s="15"/>
      <c r="B391" s="14" t="s">
        <v>170</v>
      </c>
      <c r="C391" s="19" t="s">
        <v>364</v>
      </c>
      <c r="D391" s="19" t="s">
        <v>129</v>
      </c>
      <c r="E391" s="19" t="s">
        <v>131</v>
      </c>
      <c r="F391" s="19" t="s">
        <v>168</v>
      </c>
      <c r="G391" s="21">
        <f>G392</f>
        <v>1108</v>
      </c>
      <c r="H391" s="21">
        <f>H392</f>
        <v>1108</v>
      </c>
      <c r="K391" s="21">
        <f>K392</f>
        <v>1003</v>
      </c>
      <c r="L391" s="21">
        <f>L392</f>
        <v>1003</v>
      </c>
      <c r="M391" s="86"/>
    </row>
    <row r="392" spans="1:13" s="11" customFormat="1" ht="15.75">
      <c r="A392" s="15"/>
      <c r="B392" s="14" t="s">
        <v>171</v>
      </c>
      <c r="C392" s="19" t="s">
        <v>364</v>
      </c>
      <c r="D392" s="19" t="s">
        <v>129</v>
      </c>
      <c r="E392" s="19" t="s">
        <v>131</v>
      </c>
      <c r="F392" s="19" t="s">
        <v>169</v>
      </c>
      <c r="G392" s="21">
        <f>1007+101</f>
        <v>1108</v>
      </c>
      <c r="H392" s="21">
        <f>G392</f>
        <v>1108</v>
      </c>
      <c r="K392" s="21">
        <v>1003</v>
      </c>
      <c r="L392" s="21">
        <f>K392</f>
        <v>1003</v>
      </c>
      <c r="M392" s="86"/>
    </row>
    <row r="393" spans="1:13" s="11" customFormat="1" ht="15.75">
      <c r="A393" s="15"/>
      <c r="B393" s="18" t="s">
        <v>159</v>
      </c>
      <c r="C393" s="19" t="s">
        <v>364</v>
      </c>
      <c r="D393" s="19" t="s">
        <v>129</v>
      </c>
      <c r="E393" s="19" t="s">
        <v>131</v>
      </c>
      <c r="F393" s="19" t="s">
        <v>158</v>
      </c>
      <c r="G393" s="21">
        <f>G394</f>
        <v>7670</v>
      </c>
      <c r="H393" s="21">
        <f>H394</f>
        <v>7670</v>
      </c>
      <c r="K393" s="21">
        <f>K394</f>
        <v>5260.9</v>
      </c>
      <c r="L393" s="21">
        <f>L394</f>
        <v>5260.9</v>
      </c>
      <c r="M393" s="86"/>
    </row>
    <row r="394" spans="1:13" s="11" customFormat="1" ht="31.5">
      <c r="A394" s="15"/>
      <c r="B394" s="18" t="s">
        <v>165</v>
      </c>
      <c r="C394" s="19" t="s">
        <v>364</v>
      </c>
      <c r="D394" s="19" t="s">
        <v>129</v>
      </c>
      <c r="E394" s="19" t="s">
        <v>131</v>
      </c>
      <c r="F394" s="19" t="s">
        <v>164</v>
      </c>
      <c r="G394" s="21">
        <f>4058+3612</f>
        <v>7670</v>
      </c>
      <c r="H394" s="21">
        <f>G394</f>
        <v>7670</v>
      </c>
      <c r="K394" s="21">
        <v>5260.9</v>
      </c>
      <c r="L394" s="21">
        <f>K394</f>
        <v>5260.9</v>
      </c>
      <c r="M394" s="86"/>
    </row>
    <row r="395" spans="1:13" s="11" customFormat="1" ht="32.25" customHeight="1">
      <c r="A395" s="15"/>
      <c r="B395" s="18" t="s">
        <v>581</v>
      </c>
      <c r="C395" s="19" t="s">
        <v>403</v>
      </c>
      <c r="D395" s="19" t="s">
        <v>134</v>
      </c>
      <c r="E395" s="19" t="s">
        <v>127</v>
      </c>
      <c r="F395" s="19"/>
      <c r="G395" s="21">
        <f>G396</f>
        <v>2789.3999999999996</v>
      </c>
      <c r="H395" s="21">
        <f>H396</f>
        <v>2156.2</v>
      </c>
      <c r="K395" s="21">
        <f>K396</f>
        <v>2347.7</v>
      </c>
      <c r="L395" s="21">
        <f>L396</f>
        <v>1814.8</v>
      </c>
      <c r="M395" s="86"/>
    </row>
    <row r="396" spans="1:13" s="11" customFormat="1" ht="15.75">
      <c r="A396" s="15"/>
      <c r="B396" s="18" t="s">
        <v>162</v>
      </c>
      <c r="C396" s="19" t="s">
        <v>403</v>
      </c>
      <c r="D396" s="19" t="s">
        <v>134</v>
      </c>
      <c r="E396" s="19" t="s">
        <v>127</v>
      </c>
      <c r="F396" s="19" t="s">
        <v>160</v>
      </c>
      <c r="G396" s="21">
        <f>G397</f>
        <v>2789.3999999999996</v>
      </c>
      <c r="H396" s="21">
        <f>H397</f>
        <v>2156.2</v>
      </c>
      <c r="K396" s="21">
        <f>K397</f>
        <v>2347.7</v>
      </c>
      <c r="L396" s="21">
        <f>L397</f>
        <v>1814.8</v>
      </c>
      <c r="M396" s="86"/>
    </row>
    <row r="397" spans="1:13" s="11" customFormat="1" ht="31.5">
      <c r="A397" s="15"/>
      <c r="B397" s="18" t="s">
        <v>163</v>
      </c>
      <c r="C397" s="19" t="s">
        <v>403</v>
      </c>
      <c r="D397" s="19" t="s">
        <v>134</v>
      </c>
      <c r="E397" s="19" t="s">
        <v>127</v>
      </c>
      <c r="F397" s="19" t="s">
        <v>161</v>
      </c>
      <c r="G397" s="21">
        <f>1106+2156.2-472.8</f>
        <v>2789.3999999999996</v>
      </c>
      <c r="H397" s="21">
        <v>2156.2</v>
      </c>
      <c r="K397" s="21">
        <v>2347.7</v>
      </c>
      <c r="L397" s="21">
        <v>1814.8</v>
      </c>
      <c r="M397" s="86"/>
    </row>
    <row r="398" spans="1:13" s="11" customFormat="1" ht="63">
      <c r="A398" s="15">
        <v>7</v>
      </c>
      <c r="B398" s="32" t="s">
        <v>332</v>
      </c>
      <c r="C398" s="41" t="s">
        <v>271</v>
      </c>
      <c r="D398" s="20"/>
      <c r="E398" s="20"/>
      <c r="F398" s="19"/>
      <c r="G398" s="40">
        <f>G399</f>
        <v>22555.1</v>
      </c>
      <c r="H398" s="40">
        <f>H399</f>
        <v>8705.1</v>
      </c>
      <c r="K398" s="40">
        <f>K399</f>
        <v>21751.600000000002</v>
      </c>
      <c r="L398" s="40">
        <f>L399</f>
        <v>8705.1</v>
      </c>
      <c r="M398" s="31">
        <f>K398/G398*100</f>
        <v>96.43761277937142</v>
      </c>
    </row>
    <row r="399" spans="1:13" s="11" customFormat="1" ht="15.75">
      <c r="A399" s="14"/>
      <c r="B399" s="18" t="s">
        <v>141</v>
      </c>
      <c r="C399" s="19" t="s">
        <v>271</v>
      </c>
      <c r="D399" s="22" t="s">
        <v>136</v>
      </c>
      <c r="E399" s="22" t="s">
        <v>139</v>
      </c>
      <c r="F399" s="19"/>
      <c r="G399" s="21">
        <f>G400</f>
        <v>22555.1</v>
      </c>
      <c r="H399" s="21">
        <f>H400+H407+H404</f>
        <v>8705.1</v>
      </c>
      <c r="K399" s="21">
        <f>K400</f>
        <v>21751.600000000002</v>
      </c>
      <c r="L399" s="21">
        <f>L400+L407+L404</f>
        <v>8705.1</v>
      </c>
      <c r="M399" s="86"/>
    </row>
    <row r="400" spans="1:13" s="11" customFormat="1" ht="15.75">
      <c r="A400" s="14"/>
      <c r="B400" s="18" t="s">
        <v>142</v>
      </c>
      <c r="C400" s="19" t="s">
        <v>271</v>
      </c>
      <c r="D400" s="22" t="s">
        <v>136</v>
      </c>
      <c r="E400" s="22" t="s">
        <v>131</v>
      </c>
      <c r="F400" s="19"/>
      <c r="G400" s="21">
        <f>G401+G408+G405+G415+G418+G410</f>
        <v>22555.1</v>
      </c>
      <c r="H400" s="23"/>
      <c r="K400" s="21">
        <f>K401+K408+K405+K415+K418+K410</f>
        <v>21751.600000000002</v>
      </c>
      <c r="L400" s="23"/>
      <c r="M400" s="86"/>
    </row>
    <row r="401" spans="1:13" s="11" customFormat="1" ht="15.75">
      <c r="A401" s="5"/>
      <c r="B401" s="53" t="s">
        <v>315</v>
      </c>
      <c r="C401" s="19" t="s">
        <v>316</v>
      </c>
      <c r="D401" s="22" t="s">
        <v>136</v>
      </c>
      <c r="E401" s="22" t="s">
        <v>131</v>
      </c>
      <c r="F401" s="19"/>
      <c r="G401" s="21">
        <f>G402</f>
        <v>2212.1</v>
      </c>
      <c r="H401" s="23"/>
      <c r="K401" s="21">
        <f>K402</f>
        <v>1684.4</v>
      </c>
      <c r="L401" s="23"/>
      <c r="M401" s="86"/>
    </row>
    <row r="402" spans="1:13" s="11" customFormat="1" ht="15.75">
      <c r="A402" s="5"/>
      <c r="B402" s="53" t="s">
        <v>159</v>
      </c>
      <c r="C402" s="19" t="s">
        <v>316</v>
      </c>
      <c r="D402" s="22" t="s">
        <v>136</v>
      </c>
      <c r="E402" s="22" t="s">
        <v>131</v>
      </c>
      <c r="F402" s="19" t="s">
        <v>158</v>
      </c>
      <c r="G402" s="21">
        <f>G403</f>
        <v>2212.1</v>
      </c>
      <c r="H402" s="23"/>
      <c r="K402" s="21">
        <f>K403</f>
        <v>1684.4</v>
      </c>
      <c r="L402" s="23"/>
      <c r="M402" s="86"/>
    </row>
    <row r="403" spans="1:13" s="11" customFormat="1" ht="31.5">
      <c r="A403" s="5"/>
      <c r="B403" s="53" t="s">
        <v>165</v>
      </c>
      <c r="C403" s="19" t="s">
        <v>316</v>
      </c>
      <c r="D403" s="22" t="s">
        <v>136</v>
      </c>
      <c r="E403" s="22" t="s">
        <v>131</v>
      </c>
      <c r="F403" s="19" t="s">
        <v>164</v>
      </c>
      <c r="G403" s="21">
        <f>2899.7+12.4-200-500</f>
        <v>2212.1</v>
      </c>
      <c r="H403" s="23"/>
      <c r="K403" s="21">
        <v>1684.4</v>
      </c>
      <c r="L403" s="23"/>
      <c r="M403" s="86"/>
    </row>
    <row r="404" spans="1:13" s="11" customFormat="1" ht="31.5">
      <c r="A404" s="5"/>
      <c r="B404" s="14" t="s">
        <v>626</v>
      </c>
      <c r="C404" s="22" t="s">
        <v>624</v>
      </c>
      <c r="D404" s="22" t="s">
        <v>136</v>
      </c>
      <c r="E404" s="22" t="s">
        <v>131</v>
      </c>
      <c r="F404" s="19"/>
      <c r="G404" s="21">
        <f>G405</f>
        <v>8705.1</v>
      </c>
      <c r="H404" s="21">
        <f>H405</f>
        <v>8705.1</v>
      </c>
      <c r="K404" s="21">
        <f>K405</f>
        <v>8705.1</v>
      </c>
      <c r="L404" s="21">
        <f>L405</f>
        <v>8705.1</v>
      </c>
      <c r="M404" s="86"/>
    </row>
    <row r="405" spans="1:13" s="11" customFormat="1" ht="31.5">
      <c r="A405" s="5"/>
      <c r="B405" s="19" t="s">
        <v>157</v>
      </c>
      <c r="C405" s="22" t="s">
        <v>624</v>
      </c>
      <c r="D405" s="22" t="s">
        <v>136</v>
      </c>
      <c r="E405" s="22" t="s">
        <v>131</v>
      </c>
      <c r="F405" s="19" t="s">
        <v>156</v>
      </c>
      <c r="G405" s="21">
        <f>G406</f>
        <v>8705.1</v>
      </c>
      <c r="H405" s="21">
        <f>H406</f>
        <v>8705.1</v>
      </c>
      <c r="K405" s="21">
        <f>K406</f>
        <v>8705.1</v>
      </c>
      <c r="L405" s="21">
        <f>L406</f>
        <v>8705.1</v>
      </c>
      <c r="M405" s="86"/>
    </row>
    <row r="406" spans="1:13" s="11" customFormat="1" ht="15.75">
      <c r="A406" s="5"/>
      <c r="B406" s="14" t="s">
        <v>167</v>
      </c>
      <c r="C406" s="22" t="s">
        <v>624</v>
      </c>
      <c r="D406" s="22" t="s">
        <v>136</v>
      </c>
      <c r="E406" s="22" t="s">
        <v>131</v>
      </c>
      <c r="F406" s="19" t="s">
        <v>166</v>
      </c>
      <c r="G406" s="21">
        <f>9929.7-9929.7+8705.1</f>
        <v>8705.1</v>
      </c>
      <c r="H406" s="21">
        <f>G406</f>
        <v>8705.1</v>
      </c>
      <c r="K406" s="21">
        <f>9929.7-9929.7+8705.1</f>
        <v>8705.1</v>
      </c>
      <c r="L406" s="21">
        <f>K406</f>
        <v>8705.1</v>
      </c>
      <c r="M406" s="86"/>
    </row>
    <row r="407" spans="1:13" s="11" customFormat="1" ht="47.25">
      <c r="A407" s="5"/>
      <c r="B407" s="14" t="s">
        <v>627</v>
      </c>
      <c r="C407" s="22" t="s">
        <v>624</v>
      </c>
      <c r="D407" s="22" t="s">
        <v>136</v>
      </c>
      <c r="E407" s="22" t="s">
        <v>131</v>
      </c>
      <c r="F407" s="19"/>
      <c r="G407" s="21">
        <f>G408</f>
        <v>87.89999999999999</v>
      </c>
      <c r="H407" s="23"/>
      <c r="K407" s="21">
        <f>K408</f>
        <v>87.89999999999999</v>
      </c>
      <c r="L407" s="23"/>
      <c r="M407" s="86"/>
    </row>
    <row r="408" spans="1:13" s="11" customFormat="1" ht="31.5">
      <c r="A408" s="5"/>
      <c r="B408" s="19" t="s">
        <v>157</v>
      </c>
      <c r="C408" s="22" t="s">
        <v>624</v>
      </c>
      <c r="D408" s="22" t="s">
        <v>136</v>
      </c>
      <c r="E408" s="22" t="s">
        <v>131</v>
      </c>
      <c r="F408" s="19" t="s">
        <v>156</v>
      </c>
      <c r="G408" s="21">
        <f>G409</f>
        <v>87.89999999999999</v>
      </c>
      <c r="H408" s="23"/>
      <c r="K408" s="21">
        <f>K409</f>
        <v>87.89999999999999</v>
      </c>
      <c r="L408" s="23"/>
      <c r="M408" s="86"/>
    </row>
    <row r="409" spans="1:13" s="11" customFormat="1" ht="15.75">
      <c r="A409" s="5"/>
      <c r="B409" s="14" t="s">
        <v>167</v>
      </c>
      <c r="C409" s="22" t="s">
        <v>624</v>
      </c>
      <c r="D409" s="22" t="s">
        <v>136</v>
      </c>
      <c r="E409" s="22" t="s">
        <v>131</v>
      </c>
      <c r="F409" s="19" t="s">
        <v>166</v>
      </c>
      <c r="G409" s="21">
        <f>100.3-12.4</f>
        <v>87.89999999999999</v>
      </c>
      <c r="H409" s="23"/>
      <c r="K409" s="21">
        <f>100.3-12.4</f>
        <v>87.89999999999999</v>
      </c>
      <c r="L409" s="23"/>
      <c r="M409" s="86"/>
    </row>
    <row r="410" spans="1:13" s="11" customFormat="1" ht="39.75" customHeight="1">
      <c r="A410" s="5"/>
      <c r="B410" s="14" t="s">
        <v>628</v>
      </c>
      <c r="C410" s="22" t="s">
        <v>625</v>
      </c>
      <c r="D410" s="22" t="s">
        <v>136</v>
      </c>
      <c r="E410" s="22" t="s">
        <v>131</v>
      </c>
      <c r="F410" s="19"/>
      <c r="G410" s="21">
        <f>G413+G411</f>
        <v>4600</v>
      </c>
      <c r="H410" s="23"/>
      <c r="K410" s="21">
        <f>K413+K411</f>
        <v>4395.7</v>
      </c>
      <c r="L410" s="23"/>
      <c r="M410" s="86"/>
    </row>
    <row r="411" spans="1:13" s="11" customFormat="1" ht="31.5" customHeight="1">
      <c r="A411" s="5"/>
      <c r="B411" s="14" t="s">
        <v>159</v>
      </c>
      <c r="C411" s="22" t="s">
        <v>625</v>
      </c>
      <c r="D411" s="22" t="s">
        <v>136</v>
      </c>
      <c r="E411" s="22" t="s">
        <v>131</v>
      </c>
      <c r="F411" s="22" t="s">
        <v>158</v>
      </c>
      <c r="G411" s="21">
        <f>G412</f>
        <v>250</v>
      </c>
      <c r="H411" s="23"/>
      <c r="K411" s="21">
        <f>K412</f>
        <v>239</v>
      </c>
      <c r="L411" s="23"/>
      <c r="M411" s="86"/>
    </row>
    <row r="412" spans="1:13" s="11" customFormat="1" ht="39.75" customHeight="1">
      <c r="A412" s="5"/>
      <c r="B412" s="14" t="s">
        <v>165</v>
      </c>
      <c r="C412" s="22" t="s">
        <v>625</v>
      </c>
      <c r="D412" s="22" t="s">
        <v>136</v>
      </c>
      <c r="E412" s="22" t="s">
        <v>131</v>
      </c>
      <c r="F412" s="22" t="s">
        <v>164</v>
      </c>
      <c r="G412" s="21">
        <v>250</v>
      </c>
      <c r="H412" s="23"/>
      <c r="K412" s="21">
        <v>239</v>
      </c>
      <c r="L412" s="23"/>
      <c r="M412" s="86"/>
    </row>
    <row r="413" spans="1:13" s="11" customFormat="1" ht="31.5">
      <c r="A413" s="5"/>
      <c r="B413" s="19" t="s">
        <v>157</v>
      </c>
      <c r="C413" s="22" t="s">
        <v>625</v>
      </c>
      <c r="D413" s="22" t="s">
        <v>136</v>
      </c>
      <c r="E413" s="22" t="s">
        <v>131</v>
      </c>
      <c r="F413" s="19" t="s">
        <v>156</v>
      </c>
      <c r="G413" s="21">
        <f>G414</f>
        <v>4350</v>
      </c>
      <c r="H413" s="23"/>
      <c r="K413" s="21">
        <f>K414</f>
        <v>4156.7</v>
      </c>
      <c r="L413" s="23"/>
      <c r="M413" s="86"/>
    </row>
    <row r="414" spans="1:13" s="11" customFormat="1" ht="15.75">
      <c r="A414" s="5"/>
      <c r="B414" s="14" t="s">
        <v>167</v>
      </c>
      <c r="C414" s="22" t="s">
        <v>625</v>
      </c>
      <c r="D414" s="22" t="s">
        <v>136</v>
      </c>
      <c r="E414" s="22" t="s">
        <v>131</v>
      </c>
      <c r="F414" s="19" t="s">
        <v>166</v>
      </c>
      <c r="G414" s="21">
        <f>6600-2000-250</f>
        <v>4350</v>
      </c>
      <c r="H414" s="23"/>
      <c r="K414" s="21">
        <v>4156.7</v>
      </c>
      <c r="L414" s="23"/>
      <c r="M414" s="86"/>
    </row>
    <row r="415" spans="1:13" s="11" customFormat="1" ht="36" customHeight="1">
      <c r="A415" s="5"/>
      <c r="B415" s="14" t="s">
        <v>537</v>
      </c>
      <c r="C415" s="22" t="s">
        <v>538</v>
      </c>
      <c r="D415" s="22" t="s">
        <v>136</v>
      </c>
      <c r="E415" s="22" t="s">
        <v>131</v>
      </c>
      <c r="F415" s="19"/>
      <c r="G415" s="21">
        <f>G416</f>
        <v>6650</v>
      </c>
      <c r="H415" s="23"/>
      <c r="K415" s="21">
        <f>K416</f>
        <v>6648.8</v>
      </c>
      <c r="L415" s="23"/>
      <c r="M415" s="86"/>
    </row>
    <row r="416" spans="1:13" s="11" customFormat="1" ht="27" customHeight="1">
      <c r="A416" s="5"/>
      <c r="B416" s="14" t="s">
        <v>159</v>
      </c>
      <c r="C416" s="22" t="s">
        <v>538</v>
      </c>
      <c r="D416" s="22" t="s">
        <v>136</v>
      </c>
      <c r="E416" s="22" t="s">
        <v>131</v>
      </c>
      <c r="F416" s="22" t="s">
        <v>158</v>
      </c>
      <c r="G416" s="21">
        <f>G417</f>
        <v>6650</v>
      </c>
      <c r="H416" s="23"/>
      <c r="K416" s="21">
        <f>K417</f>
        <v>6648.8</v>
      </c>
      <c r="L416" s="23"/>
      <c r="M416" s="86"/>
    </row>
    <row r="417" spans="1:13" s="11" customFormat="1" ht="30.75" customHeight="1">
      <c r="A417" s="5"/>
      <c r="B417" s="14" t="s">
        <v>165</v>
      </c>
      <c r="C417" s="22" t="s">
        <v>538</v>
      </c>
      <c r="D417" s="22" t="s">
        <v>136</v>
      </c>
      <c r="E417" s="22" t="s">
        <v>131</v>
      </c>
      <c r="F417" s="22" t="s">
        <v>164</v>
      </c>
      <c r="G417" s="21">
        <f>2500+2500+1150+500</f>
        <v>6650</v>
      </c>
      <c r="H417" s="23"/>
      <c r="K417" s="21">
        <v>6648.8</v>
      </c>
      <c r="L417" s="23"/>
      <c r="M417" s="86"/>
    </row>
    <row r="418" spans="1:13" s="11" customFormat="1" ht="31.5" customHeight="1">
      <c r="A418" s="5"/>
      <c r="B418" s="14" t="s">
        <v>539</v>
      </c>
      <c r="C418" s="22" t="s">
        <v>540</v>
      </c>
      <c r="D418" s="22" t="s">
        <v>136</v>
      </c>
      <c r="E418" s="22" t="s">
        <v>131</v>
      </c>
      <c r="F418" s="19"/>
      <c r="G418" s="21">
        <f>G419</f>
        <v>300</v>
      </c>
      <c r="H418" s="23"/>
      <c r="K418" s="21">
        <f>K419</f>
        <v>229.7</v>
      </c>
      <c r="L418" s="23"/>
      <c r="M418" s="86"/>
    </row>
    <row r="419" spans="1:13" s="11" customFormat="1" ht="20.25" customHeight="1">
      <c r="A419" s="5"/>
      <c r="B419" s="14" t="s">
        <v>159</v>
      </c>
      <c r="C419" s="22" t="s">
        <v>540</v>
      </c>
      <c r="D419" s="22" t="s">
        <v>136</v>
      </c>
      <c r="E419" s="22" t="s">
        <v>131</v>
      </c>
      <c r="F419" s="22" t="s">
        <v>158</v>
      </c>
      <c r="G419" s="21">
        <f>G420</f>
        <v>300</v>
      </c>
      <c r="H419" s="23"/>
      <c r="K419" s="21">
        <f>K420</f>
        <v>229.7</v>
      </c>
      <c r="L419" s="23"/>
      <c r="M419" s="86"/>
    </row>
    <row r="420" spans="1:13" s="11" customFormat="1" ht="34.5" customHeight="1">
      <c r="A420" s="5"/>
      <c r="B420" s="14" t="s">
        <v>165</v>
      </c>
      <c r="C420" s="22" t="s">
        <v>540</v>
      </c>
      <c r="D420" s="22" t="s">
        <v>136</v>
      </c>
      <c r="E420" s="22" t="s">
        <v>131</v>
      </c>
      <c r="F420" s="22" t="s">
        <v>164</v>
      </c>
      <c r="G420" s="21">
        <f>100+200</f>
        <v>300</v>
      </c>
      <c r="H420" s="23"/>
      <c r="K420" s="21">
        <v>229.7</v>
      </c>
      <c r="L420" s="23"/>
      <c r="M420" s="86"/>
    </row>
    <row r="421" spans="1:13" s="11" customFormat="1" ht="31.5">
      <c r="A421" s="15">
        <v>8</v>
      </c>
      <c r="B421" s="32" t="s">
        <v>338</v>
      </c>
      <c r="C421" s="38" t="s">
        <v>74</v>
      </c>
      <c r="D421" s="6"/>
      <c r="E421" s="6"/>
      <c r="F421" s="6"/>
      <c r="G421" s="40">
        <f>G422+G425+G441+G438+G435+G444</f>
        <v>54232.899999999994</v>
      </c>
      <c r="H421" s="40">
        <f>H422+H425+H441+H438+H435+H444</f>
        <v>4000</v>
      </c>
      <c r="K421" s="40">
        <f>K422+K425+K441+K438+K435+K444</f>
        <v>49147.69999999999</v>
      </c>
      <c r="L421" s="40">
        <f>L422+L425+L441+L438+L435+L444</f>
        <v>0</v>
      </c>
      <c r="M421" s="31">
        <f>K421/G421*100</f>
        <v>90.62340387476974</v>
      </c>
    </row>
    <row r="422" spans="1:13" s="11" customFormat="1" ht="31.5">
      <c r="A422" s="18"/>
      <c r="B422" s="56" t="s">
        <v>310</v>
      </c>
      <c r="C422" s="43" t="s">
        <v>272</v>
      </c>
      <c r="D422" s="39" t="s">
        <v>127</v>
      </c>
      <c r="E422" s="39" t="s">
        <v>402</v>
      </c>
      <c r="F422" s="51"/>
      <c r="G422" s="47">
        <f>G423</f>
        <v>12920</v>
      </c>
      <c r="H422" s="46"/>
      <c r="K422" s="47">
        <f>K423</f>
        <v>11891.1</v>
      </c>
      <c r="L422" s="46"/>
      <c r="M422" s="86"/>
    </row>
    <row r="423" spans="1:13" s="11" customFormat="1" ht="15.75">
      <c r="A423" s="18"/>
      <c r="B423" s="53" t="s">
        <v>159</v>
      </c>
      <c r="C423" s="19" t="s">
        <v>273</v>
      </c>
      <c r="D423" s="22" t="s">
        <v>127</v>
      </c>
      <c r="E423" s="22" t="s">
        <v>402</v>
      </c>
      <c r="F423" s="19" t="s">
        <v>158</v>
      </c>
      <c r="G423" s="21">
        <f>G424</f>
        <v>12920</v>
      </c>
      <c r="H423" s="46"/>
      <c r="K423" s="21">
        <f>K424</f>
        <v>11891.1</v>
      </c>
      <c r="L423" s="46"/>
      <c r="M423" s="86"/>
    </row>
    <row r="424" spans="1:13" s="11" customFormat="1" ht="31.5">
      <c r="A424" s="18"/>
      <c r="B424" s="53" t="s">
        <v>165</v>
      </c>
      <c r="C424" s="19" t="s">
        <v>273</v>
      </c>
      <c r="D424" s="22" t="s">
        <v>127</v>
      </c>
      <c r="E424" s="22" t="s">
        <v>402</v>
      </c>
      <c r="F424" s="19" t="s">
        <v>164</v>
      </c>
      <c r="G424" s="21">
        <f>12920</f>
        <v>12920</v>
      </c>
      <c r="H424" s="46"/>
      <c r="K424" s="21">
        <v>11891.1</v>
      </c>
      <c r="L424" s="46"/>
      <c r="M424" s="86"/>
    </row>
    <row r="425" spans="1:13" s="11" customFormat="1" ht="47.25">
      <c r="A425" s="18"/>
      <c r="B425" s="56" t="s">
        <v>207</v>
      </c>
      <c r="C425" s="43" t="s">
        <v>274</v>
      </c>
      <c r="D425" s="39" t="s">
        <v>127</v>
      </c>
      <c r="E425" s="39" t="s">
        <v>125</v>
      </c>
      <c r="F425" s="51"/>
      <c r="G425" s="47">
        <f>G426+G428</f>
        <v>33882.899999999994</v>
      </c>
      <c r="H425" s="46"/>
      <c r="K425" s="47">
        <f>K426+K428</f>
        <v>33864.799999999996</v>
      </c>
      <c r="L425" s="46"/>
      <c r="M425" s="86"/>
    </row>
    <row r="426" spans="1:13" s="11" customFormat="1" ht="15.75">
      <c r="A426" s="18"/>
      <c r="B426" s="53" t="s">
        <v>159</v>
      </c>
      <c r="C426" s="19" t="s">
        <v>275</v>
      </c>
      <c r="D426" s="22" t="s">
        <v>127</v>
      </c>
      <c r="E426" s="22" t="s">
        <v>125</v>
      </c>
      <c r="F426" s="19" t="s">
        <v>158</v>
      </c>
      <c r="G426" s="21">
        <f>G427</f>
        <v>2410</v>
      </c>
      <c r="H426" s="46"/>
      <c r="K426" s="21">
        <f>K427</f>
        <v>2391.9</v>
      </c>
      <c r="L426" s="46"/>
      <c r="M426" s="86"/>
    </row>
    <row r="427" spans="1:13" s="11" customFormat="1" ht="31.5">
      <c r="A427" s="18"/>
      <c r="B427" s="53" t="s">
        <v>165</v>
      </c>
      <c r="C427" s="19" t="s">
        <v>275</v>
      </c>
      <c r="D427" s="22" t="s">
        <v>127</v>
      </c>
      <c r="E427" s="22" t="s">
        <v>125</v>
      </c>
      <c r="F427" s="19" t="s">
        <v>164</v>
      </c>
      <c r="G427" s="21">
        <f>2410</f>
        <v>2410</v>
      </c>
      <c r="H427" s="46"/>
      <c r="K427" s="21">
        <v>2391.9</v>
      </c>
      <c r="L427" s="46"/>
      <c r="M427" s="86"/>
    </row>
    <row r="428" spans="1:13" s="11" customFormat="1" ht="15.75">
      <c r="A428" s="18"/>
      <c r="B428" s="53" t="s">
        <v>311</v>
      </c>
      <c r="C428" s="19" t="s">
        <v>312</v>
      </c>
      <c r="D428" s="39" t="s">
        <v>127</v>
      </c>
      <c r="E428" s="39" t="s">
        <v>125</v>
      </c>
      <c r="F428" s="43"/>
      <c r="G428" s="21">
        <f>G429+G431+G433</f>
        <v>31472.899999999998</v>
      </c>
      <c r="H428" s="46"/>
      <c r="K428" s="21">
        <f>K429+K431+K433</f>
        <v>31472.899999999998</v>
      </c>
      <c r="L428" s="46"/>
      <c r="M428" s="86"/>
    </row>
    <row r="429" spans="1:13" s="11" customFormat="1" ht="63">
      <c r="A429" s="18"/>
      <c r="B429" s="14" t="s">
        <v>170</v>
      </c>
      <c r="C429" s="19" t="s">
        <v>312</v>
      </c>
      <c r="D429" s="22" t="s">
        <v>127</v>
      </c>
      <c r="E429" s="22" t="s">
        <v>125</v>
      </c>
      <c r="F429" s="24" t="s">
        <v>168</v>
      </c>
      <c r="G429" s="21">
        <f>G430</f>
        <v>27339.1</v>
      </c>
      <c r="H429" s="46"/>
      <c r="K429" s="21">
        <f>K430</f>
        <v>27339.1</v>
      </c>
      <c r="L429" s="46"/>
      <c r="M429" s="86"/>
    </row>
    <row r="430" spans="1:13" s="11" customFormat="1" ht="15.75">
      <c r="A430" s="18"/>
      <c r="B430" s="14" t="s">
        <v>189</v>
      </c>
      <c r="C430" s="19" t="s">
        <v>312</v>
      </c>
      <c r="D430" s="22" t="s">
        <v>127</v>
      </c>
      <c r="E430" s="22" t="s">
        <v>125</v>
      </c>
      <c r="F430" s="24" t="s">
        <v>190</v>
      </c>
      <c r="G430" s="21">
        <f>26084.1+1255</f>
        <v>27339.1</v>
      </c>
      <c r="H430" s="46"/>
      <c r="K430" s="21">
        <f>26084.1+1255</f>
        <v>27339.1</v>
      </c>
      <c r="L430" s="46"/>
      <c r="M430" s="86"/>
    </row>
    <row r="431" spans="1:13" s="11" customFormat="1" ht="15.75">
      <c r="A431" s="18"/>
      <c r="B431" s="53" t="s">
        <v>159</v>
      </c>
      <c r="C431" s="19" t="s">
        <v>312</v>
      </c>
      <c r="D431" s="22" t="s">
        <v>127</v>
      </c>
      <c r="E431" s="22" t="s">
        <v>125</v>
      </c>
      <c r="F431" s="19" t="s">
        <v>158</v>
      </c>
      <c r="G431" s="21">
        <f>G432</f>
        <v>3955.8</v>
      </c>
      <c r="H431" s="46"/>
      <c r="K431" s="21">
        <f>K432</f>
        <v>3955.8</v>
      </c>
      <c r="L431" s="46"/>
      <c r="M431" s="86"/>
    </row>
    <row r="432" spans="1:13" s="11" customFormat="1" ht="31.5">
      <c r="A432" s="18"/>
      <c r="B432" s="53" t="s">
        <v>165</v>
      </c>
      <c r="C432" s="19" t="s">
        <v>312</v>
      </c>
      <c r="D432" s="22" t="s">
        <v>127</v>
      </c>
      <c r="E432" s="22" t="s">
        <v>125</v>
      </c>
      <c r="F432" s="19" t="s">
        <v>164</v>
      </c>
      <c r="G432" s="21">
        <f>7170.8-2000-1255+40</f>
        <v>3955.8</v>
      </c>
      <c r="H432" s="46"/>
      <c r="K432" s="21">
        <f>7170.8-2000-1255+40</f>
        <v>3955.8</v>
      </c>
      <c r="L432" s="46"/>
      <c r="M432" s="86"/>
    </row>
    <row r="433" spans="1:13" s="11" customFormat="1" ht="15.75">
      <c r="A433" s="18"/>
      <c r="B433" s="53" t="s">
        <v>184</v>
      </c>
      <c r="C433" s="19" t="s">
        <v>312</v>
      </c>
      <c r="D433" s="22" t="s">
        <v>127</v>
      </c>
      <c r="E433" s="22" t="s">
        <v>125</v>
      </c>
      <c r="F433" s="19" t="s">
        <v>185</v>
      </c>
      <c r="G433" s="21">
        <f>G434</f>
        <v>178</v>
      </c>
      <c r="H433" s="46"/>
      <c r="K433" s="21">
        <f>K434</f>
        <v>178</v>
      </c>
      <c r="L433" s="46"/>
      <c r="M433" s="86"/>
    </row>
    <row r="434" spans="1:13" s="11" customFormat="1" ht="15.75">
      <c r="A434" s="18"/>
      <c r="B434" s="53" t="s">
        <v>186</v>
      </c>
      <c r="C434" s="19" t="s">
        <v>312</v>
      </c>
      <c r="D434" s="22" t="s">
        <v>127</v>
      </c>
      <c r="E434" s="22" t="s">
        <v>125</v>
      </c>
      <c r="F434" s="19" t="s">
        <v>187</v>
      </c>
      <c r="G434" s="21">
        <f>218-40</f>
        <v>178</v>
      </c>
      <c r="H434" s="46"/>
      <c r="K434" s="21">
        <f>218-40</f>
        <v>178</v>
      </c>
      <c r="L434" s="46"/>
      <c r="M434" s="86"/>
    </row>
    <row r="435" spans="1:13" s="11" customFormat="1" ht="31.5">
      <c r="A435" s="18"/>
      <c r="B435" s="56" t="s">
        <v>208</v>
      </c>
      <c r="C435" s="43" t="s">
        <v>276</v>
      </c>
      <c r="D435" s="22" t="s">
        <v>127</v>
      </c>
      <c r="E435" s="22" t="s">
        <v>125</v>
      </c>
      <c r="F435" s="19"/>
      <c r="G435" s="21">
        <f>G436</f>
        <v>1450</v>
      </c>
      <c r="H435" s="46"/>
      <c r="K435" s="21">
        <f>K436</f>
        <v>1445.2</v>
      </c>
      <c r="L435" s="46"/>
      <c r="M435" s="86"/>
    </row>
    <row r="436" spans="1:13" s="11" customFormat="1" ht="15.75">
      <c r="A436" s="18"/>
      <c r="B436" s="53" t="s">
        <v>159</v>
      </c>
      <c r="C436" s="19" t="s">
        <v>277</v>
      </c>
      <c r="D436" s="22" t="s">
        <v>127</v>
      </c>
      <c r="E436" s="22" t="s">
        <v>125</v>
      </c>
      <c r="F436" s="19" t="s">
        <v>158</v>
      </c>
      <c r="G436" s="21">
        <f>G437</f>
        <v>1450</v>
      </c>
      <c r="H436" s="46"/>
      <c r="K436" s="21">
        <f>K437</f>
        <v>1445.2</v>
      </c>
      <c r="L436" s="46"/>
      <c r="M436" s="86"/>
    </row>
    <row r="437" spans="1:13" s="11" customFormat="1" ht="31.5">
      <c r="A437" s="18"/>
      <c r="B437" s="53" t="s">
        <v>165</v>
      </c>
      <c r="C437" s="19" t="s">
        <v>277</v>
      </c>
      <c r="D437" s="22" t="s">
        <v>127</v>
      </c>
      <c r="E437" s="22" t="s">
        <v>125</v>
      </c>
      <c r="F437" s="19" t="s">
        <v>164</v>
      </c>
      <c r="G437" s="21">
        <f>1450</f>
        <v>1450</v>
      </c>
      <c r="H437" s="46"/>
      <c r="K437" s="21">
        <v>1445.2</v>
      </c>
      <c r="L437" s="46"/>
      <c r="M437" s="86"/>
    </row>
    <row r="438" spans="1:13" s="11" customFormat="1" ht="15.75">
      <c r="A438" s="18"/>
      <c r="B438" s="56" t="s">
        <v>209</v>
      </c>
      <c r="C438" s="43" t="s">
        <v>278</v>
      </c>
      <c r="D438" s="22" t="s">
        <v>127</v>
      </c>
      <c r="E438" s="22" t="s">
        <v>402</v>
      </c>
      <c r="F438" s="43"/>
      <c r="G438" s="47">
        <f>G439</f>
        <v>800</v>
      </c>
      <c r="H438" s="46"/>
      <c r="K438" s="47">
        <f>K439</f>
        <v>768.2</v>
      </c>
      <c r="L438" s="46"/>
      <c r="M438" s="86"/>
    </row>
    <row r="439" spans="1:13" s="11" customFormat="1" ht="15.75">
      <c r="A439" s="18"/>
      <c r="B439" s="53" t="s">
        <v>159</v>
      </c>
      <c r="C439" s="19" t="s">
        <v>279</v>
      </c>
      <c r="D439" s="22" t="s">
        <v>127</v>
      </c>
      <c r="E439" s="22" t="s">
        <v>402</v>
      </c>
      <c r="F439" s="19" t="s">
        <v>158</v>
      </c>
      <c r="G439" s="21">
        <f>G440</f>
        <v>800</v>
      </c>
      <c r="H439" s="46"/>
      <c r="K439" s="21">
        <f>K440</f>
        <v>768.2</v>
      </c>
      <c r="L439" s="46"/>
      <c r="M439" s="86"/>
    </row>
    <row r="440" spans="1:13" s="11" customFormat="1" ht="31.5">
      <c r="A440" s="18"/>
      <c r="B440" s="53" t="s">
        <v>165</v>
      </c>
      <c r="C440" s="19" t="s">
        <v>279</v>
      </c>
      <c r="D440" s="22" t="s">
        <v>127</v>
      </c>
      <c r="E440" s="22" t="s">
        <v>402</v>
      </c>
      <c r="F440" s="19" t="s">
        <v>164</v>
      </c>
      <c r="G440" s="21">
        <f>800</f>
        <v>800</v>
      </c>
      <c r="H440" s="46"/>
      <c r="K440" s="21">
        <v>768.2</v>
      </c>
      <c r="L440" s="46"/>
      <c r="M440" s="86"/>
    </row>
    <row r="441" spans="1:13" s="11" customFormat="1" ht="31.5">
      <c r="A441" s="18"/>
      <c r="B441" s="56" t="s">
        <v>210</v>
      </c>
      <c r="C441" s="43" t="s">
        <v>313</v>
      </c>
      <c r="D441" s="39" t="s">
        <v>127</v>
      </c>
      <c r="E441" s="39" t="s">
        <v>125</v>
      </c>
      <c r="F441" s="43"/>
      <c r="G441" s="47">
        <f>G442</f>
        <v>1180</v>
      </c>
      <c r="H441" s="46"/>
      <c r="K441" s="47">
        <f>K442</f>
        <v>1178.4</v>
      </c>
      <c r="L441" s="46"/>
      <c r="M441" s="86"/>
    </row>
    <row r="442" spans="1:13" s="11" customFormat="1" ht="15.75">
      <c r="A442" s="18"/>
      <c r="B442" s="53" t="s">
        <v>159</v>
      </c>
      <c r="C442" s="19" t="s">
        <v>314</v>
      </c>
      <c r="D442" s="22" t="s">
        <v>127</v>
      </c>
      <c r="E442" s="22" t="s">
        <v>125</v>
      </c>
      <c r="F442" s="19" t="s">
        <v>158</v>
      </c>
      <c r="G442" s="21">
        <f>G443</f>
        <v>1180</v>
      </c>
      <c r="H442" s="46"/>
      <c r="K442" s="21">
        <f>K443</f>
        <v>1178.4</v>
      </c>
      <c r="L442" s="46"/>
      <c r="M442" s="86"/>
    </row>
    <row r="443" spans="1:13" s="11" customFormat="1" ht="31.5">
      <c r="A443" s="18"/>
      <c r="B443" s="53" t="s">
        <v>165</v>
      </c>
      <c r="C443" s="19" t="s">
        <v>314</v>
      </c>
      <c r="D443" s="22" t="s">
        <v>127</v>
      </c>
      <c r="E443" s="22" t="s">
        <v>125</v>
      </c>
      <c r="F443" s="19" t="s">
        <v>164</v>
      </c>
      <c r="G443" s="21">
        <f>1180</f>
        <v>1180</v>
      </c>
      <c r="H443" s="46"/>
      <c r="K443" s="21">
        <v>1178.4</v>
      </c>
      <c r="L443" s="46"/>
      <c r="M443" s="86"/>
    </row>
    <row r="444" spans="1:13" s="11" customFormat="1" ht="15.75">
      <c r="A444" s="18"/>
      <c r="B444" s="56" t="s">
        <v>239</v>
      </c>
      <c r="C444" s="22" t="s">
        <v>666</v>
      </c>
      <c r="D444" s="22" t="s">
        <v>131</v>
      </c>
      <c r="E444" s="22" t="s">
        <v>127</v>
      </c>
      <c r="F444" s="19"/>
      <c r="G444" s="47">
        <f aca="true" t="shared" si="4" ref="G444:H446">G445</f>
        <v>4000</v>
      </c>
      <c r="H444" s="47">
        <f t="shared" si="4"/>
        <v>4000</v>
      </c>
      <c r="K444" s="47">
        <f aca="true" t="shared" si="5" ref="K444:L446">K445</f>
        <v>0</v>
      </c>
      <c r="L444" s="47">
        <f t="shared" si="5"/>
        <v>0</v>
      </c>
      <c r="M444" s="86"/>
    </row>
    <row r="445" spans="1:13" s="11" customFormat="1" ht="47.25">
      <c r="A445" s="18"/>
      <c r="B445" s="53" t="s">
        <v>667</v>
      </c>
      <c r="C445" s="22" t="s">
        <v>668</v>
      </c>
      <c r="D445" s="22" t="s">
        <v>131</v>
      </c>
      <c r="E445" s="22" t="s">
        <v>127</v>
      </c>
      <c r="F445" s="19"/>
      <c r="G445" s="21">
        <f t="shared" si="4"/>
        <v>4000</v>
      </c>
      <c r="H445" s="72">
        <f t="shared" si="4"/>
        <v>4000</v>
      </c>
      <c r="K445" s="21">
        <f t="shared" si="5"/>
        <v>0</v>
      </c>
      <c r="L445" s="72">
        <f t="shared" si="5"/>
        <v>0</v>
      </c>
      <c r="M445" s="86"/>
    </row>
    <row r="446" spans="1:13" s="11" customFormat="1" ht="15.75">
      <c r="A446" s="18"/>
      <c r="B446" s="53" t="s">
        <v>159</v>
      </c>
      <c r="C446" s="22" t="s">
        <v>668</v>
      </c>
      <c r="D446" s="22" t="s">
        <v>131</v>
      </c>
      <c r="E446" s="22" t="s">
        <v>127</v>
      </c>
      <c r="F446" s="19" t="s">
        <v>158</v>
      </c>
      <c r="G446" s="21">
        <f t="shared" si="4"/>
        <v>4000</v>
      </c>
      <c r="H446" s="72">
        <f t="shared" si="4"/>
        <v>4000</v>
      </c>
      <c r="K446" s="21">
        <f t="shared" si="5"/>
        <v>0</v>
      </c>
      <c r="L446" s="72">
        <f t="shared" si="5"/>
        <v>0</v>
      </c>
      <c r="M446" s="86"/>
    </row>
    <row r="447" spans="1:13" s="11" customFormat="1" ht="31.5">
      <c r="A447" s="18"/>
      <c r="B447" s="53" t="s">
        <v>165</v>
      </c>
      <c r="C447" s="22" t="s">
        <v>668</v>
      </c>
      <c r="D447" s="22" t="s">
        <v>131</v>
      </c>
      <c r="E447" s="22" t="s">
        <v>127</v>
      </c>
      <c r="F447" s="19" t="s">
        <v>164</v>
      </c>
      <c r="G447" s="21">
        <v>4000</v>
      </c>
      <c r="H447" s="72">
        <f>G447</f>
        <v>4000</v>
      </c>
      <c r="K447" s="21">
        <v>0</v>
      </c>
      <c r="L447" s="72">
        <f>K447</f>
        <v>0</v>
      </c>
      <c r="M447" s="86"/>
    </row>
    <row r="448" spans="1:13" ht="31.5">
      <c r="A448" s="15">
        <v>9</v>
      </c>
      <c r="B448" s="32" t="s">
        <v>234</v>
      </c>
      <c r="C448" s="41" t="s">
        <v>280</v>
      </c>
      <c r="D448" s="20"/>
      <c r="E448" s="20"/>
      <c r="F448" s="19"/>
      <c r="G448" s="40">
        <f>G449</f>
        <v>65804.3</v>
      </c>
      <c r="H448" s="40">
        <f>H449</f>
        <v>64261.6</v>
      </c>
      <c r="K448" s="40">
        <f>K449</f>
        <v>57707.5</v>
      </c>
      <c r="L448" s="40">
        <f>L449</f>
        <v>56582.30000000001</v>
      </c>
      <c r="M448" s="31">
        <f>K448/G448*100</f>
        <v>87.69563691126567</v>
      </c>
    </row>
    <row r="449" spans="1:13" ht="15.75">
      <c r="A449" s="18"/>
      <c r="B449" s="14" t="s">
        <v>148</v>
      </c>
      <c r="C449" s="19" t="s">
        <v>280</v>
      </c>
      <c r="D449" s="25" t="s">
        <v>134</v>
      </c>
      <c r="E449" s="25" t="s">
        <v>139</v>
      </c>
      <c r="F449" s="24"/>
      <c r="G449" s="21">
        <f>G450</f>
        <v>65804.3</v>
      </c>
      <c r="H449" s="21">
        <f>H450</f>
        <v>64261.6</v>
      </c>
      <c r="K449" s="21">
        <f>K450</f>
        <v>57707.5</v>
      </c>
      <c r="L449" s="21">
        <f>L450</f>
        <v>56582.30000000001</v>
      </c>
      <c r="M449" s="83"/>
    </row>
    <row r="450" spans="1:13" ht="15.75">
      <c r="A450" s="18"/>
      <c r="B450" s="14" t="s">
        <v>149</v>
      </c>
      <c r="C450" s="19" t="s">
        <v>280</v>
      </c>
      <c r="D450" s="25" t="s">
        <v>134</v>
      </c>
      <c r="E450" s="25" t="s">
        <v>139</v>
      </c>
      <c r="F450" s="24"/>
      <c r="G450" s="21">
        <f>G455+G451+G466+G459</f>
        <v>65804.3</v>
      </c>
      <c r="H450" s="21">
        <f>H455+H451+H466+H459</f>
        <v>64261.6</v>
      </c>
      <c r="K450" s="21">
        <f>K455+K451+K466+K459</f>
        <v>57707.5</v>
      </c>
      <c r="L450" s="21">
        <f>L455+L451+L466+L459</f>
        <v>56582.30000000001</v>
      </c>
      <c r="M450" s="83"/>
    </row>
    <row r="451" spans="1:13" ht="15.75">
      <c r="A451" s="18"/>
      <c r="B451" s="54" t="s">
        <v>21</v>
      </c>
      <c r="C451" s="19" t="s">
        <v>248</v>
      </c>
      <c r="D451" s="25" t="s">
        <v>134</v>
      </c>
      <c r="E451" s="25" t="s">
        <v>129</v>
      </c>
      <c r="F451" s="43"/>
      <c r="G451" s="21">
        <f aca="true" t="shared" si="6" ref="G451:H453">G452</f>
        <v>2964.6000000000004</v>
      </c>
      <c r="H451" s="21">
        <f t="shared" si="6"/>
        <v>1424.6</v>
      </c>
      <c r="K451" s="21">
        <f aca="true" t="shared" si="7" ref="K451:L453">K452</f>
        <v>2546.7</v>
      </c>
      <c r="L451" s="21">
        <f t="shared" si="7"/>
        <v>1423.8</v>
      </c>
      <c r="M451" s="83"/>
    </row>
    <row r="452" spans="1:13" ht="20.25" customHeight="1">
      <c r="A452" s="18"/>
      <c r="B452" s="14" t="s">
        <v>409</v>
      </c>
      <c r="C452" s="19" t="s">
        <v>397</v>
      </c>
      <c r="D452" s="25" t="s">
        <v>134</v>
      </c>
      <c r="E452" s="25" t="s">
        <v>129</v>
      </c>
      <c r="F452" s="19"/>
      <c r="G452" s="21">
        <f t="shared" si="6"/>
        <v>2964.6000000000004</v>
      </c>
      <c r="H452" s="72">
        <f t="shared" si="6"/>
        <v>1424.6</v>
      </c>
      <c r="K452" s="21">
        <f t="shared" si="7"/>
        <v>2546.7</v>
      </c>
      <c r="L452" s="72">
        <f t="shared" si="7"/>
        <v>1423.8</v>
      </c>
      <c r="M452" s="83"/>
    </row>
    <row r="453" spans="1:13" ht="15.75">
      <c r="A453" s="18"/>
      <c r="B453" s="14" t="s">
        <v>162</v>
      </c>
      <c r="C453" s="19" t="s">
        <v>397</v>
      </c>
      <c r="D453" s="25" t="s">
        <v>134</v>
      </c>
      <c r="E453" s="25" t="s">
        <v>129</v>
      </c>
      <c r="F453" s="19" t="s">
        <v>160</v>
      </c>
      <c r="G453" s="21">
        <f t="shared" si="6"/>
        <v>2964.6000000000004</v>
      </c>
      <c r="H453" s="72">
        <f t="shared" si="6"/>
        <v>1424.6</v>
      </c>
      <c r="K453" s="21">
        <f t="shared" si="7"/>
        <v>2546.7</v>
      </c>
      <c r="L453" s="72">
        <f t="shared" si="7"/>
        <v>1423.8</v>
      </c>
      <c r="M453" s="83"/>
    </row>
    <row r="454" spans="1:13" ht="31.5">
      <c r="A454" s="18"/>
      <c r="B454" s="14" t="s">
        <v>163</v>
      </c>
      <c r="C454" s="19" t="s">
        <v>397</v>
      </c>
      <c r="D454" s="25" t="s">
        <v>134</v>
      </c>
      <c r="E454" s="25" t="s">
        <v>129</v>
      </c>
      <c r="F454" s="19" t="s">
        <v>161</v>
      </c>
      <c r="G454" s="21">
        <f>1540+1123.3+301.3</f>
        <v>2964.6000000000004</v>
      </c>
      <c r="H454" s="72">
        <f>301.3+1123.3</f>
        <v>1424.6</v>
      </c>
      <c r="K454" s="21">
        <v>2546.7</v>
      </c>
      <c r="L454" s="72">
        <v>1423.8</v>
      </c>
      <c r="M454" s="83"/>
    </row>
    <row r="455" spans="1:13" ht="50.25" customHeight="1">
      <c r="A455" s="18"/>
      <c r="B455" s="54" t="s">
        <v>435</v>
      </c>
      <c r="C455" s="24" t="s">
        <v>22</v>
      </c>
      <c r="D455" s="39" t="s">
        <v>134</v>
      </c>
      <c r="E455" s="48" t="s">
        <v>129</v>
      </c>
      <c r="F455" s="43"/>
      <c r="G455" s="47">
        <f>G456</f>
        <v>58171</v>
      </c>
      <c r="H455" s="50">
        <f aca="true" t="shared" si="8" ref="G455:H457">H456</f>
        <v>58171</v>
      </c>
      <c r="K455" s="47">
        <f>K456</f>
        <v>50537.3</v>
      </c>
      <c r="L455" s="50">
        <f aca="true" t="shared" si="9" ref="K455:L457">L456</f>
        <v>50537.3</v>
      </c>
      <c r="M455" s="83"/>
    </row>
    <row r="456" spans="1:13" ht="78.75">
      <c r="A456" s="18"/>
      <c r="B456" s="14" t="s">
        <v>399</v>
      </c>
      <c r="C456" s="24" t="s">
        <v>353</v>
      </c>
      <c r="D456" s="22" t="s">
        <v>134</v>
      </c>
      <c r="E456" s="25" t="s">
        <v>129</v>
      </c>
      <c r="F456" s="19"/>
      <c r="G456" s="21">
        <f t="shared" si="8"/>
        <v>58171</v>
      </c>
      <c r="H456" s="21">
        <f t="shared" si="8"/>
        <v>58171</v>
      </c>
      <c r="K456" s="21">
        <f t="shared" si="9"/>
        <v>50537.3</v>
      </c>
      <c r="L456" s="21">
        <f t="shared" si="9"/>
        <v>50537.3</v>
      </c>
      <c r="M456" s="83"/>
    </row>
    <row r="457" spans="1:13" ht="31.5">
      <c r="A457" s="18"/>
      <c r="B457" s="14" t="s">
        <v>33</v>
      </c>
      <c r="C457" s="24" t="s">
        <v>353</v>
      </c>
      <c r="D457" s="22" t="s">
        <v>134</v>
      </c>
      <c r="E457" s="25" t="s">
        <v>129</v>
      </c>
      <c r="F457" s="19" t="s">
        <v>218</v>
      </c>
      <c r="G457" s="21">
        <f t="shared" si="8"/>
        <v>58171</v>
      </c>
      <c r="H457" s="21">
        <f t="shared" si="8"/>
        <v>58171</v>
      </c>
      <c r="K457" s="21">
        <f t="shared" si="9"/>
        <v>50537.3</v>
      </c>
      <c r="L457" s="21">
        <f t="shared" si="9"/>
        <v>50537.3</v>
      </c>
      <c r="M457" s="83"/>
    </row>
    <row r="458" spans="1:13" ht="15.75">
      <c r="A458" s="18"/>
      <c r="B458" s="14" t="s">
        <v>202</v>
      </c>
      <c r="C458" s="24" t="s">
        <v>353</v>
      </c>
      <c r="D458" s="22" t="s">
        <v>134</v>
      </c>
      <c r="E458" s="25" t="s">
        <v>129</v>
      </c>
      <c r="F458" s="19" t="s">
        <v>203</v>
      </c>
      <c r="G458" s="21">
        <f>44210+13961</f>
        <v>58171</v>
      </c>
      <c r="H458" s="21">
        <f>G458</f>
        <v>58171</v>
      </c>
      <c r="K458" s="21">
        <v>50537.3</v>
      </c>
      <c r="L458" s="21">
        <f>K458</f>
        <v>50537.3</v>
      </c>
      <c r="M458" s="83"/>
    </row>
    <row r="459" spans="1:13" ht="15.75">
      <c r="A459" s="18"/>
      <c r="B459" s="54" t="s">
        <v>25</v>
      </c>
      <c r="C459" s="24" t="s">
        <v>249</v>
      </c>
      <c r="D459" s="25" t="s">
        <v>134</v>
      </c>
      <c r="E459" s="25" t="s">
        <v>127</v>
      </c>
      <c r="F459" s="19"/>
      <c r="G459" s="21">
        <f>G463+G460</f>
        <v>266.7</v>
      </c>
      <c r="H459" s="21">
        <f>H463+H460</f>
        <v>264</v>
      </c>
      <c r="K459" s="21">
        <f>K463+K460</f>
        <v>228.60000000000002</v>
      </c>
      <c r="L459" s="21">
        <f>L463+L460</f>
        <v>226.3</v>
      </c>
      <c r="M459" s="83"/>
    </row>
    <row r="460" spans="1:13" ht="31.5">
      <c r="A460" s="18"/>
      <c r="B460" s="14" t="s">
        <v>567</v>
      </c>
      <c r="C460" s="24" t="s">
        <v>26</v>
      </c>
      <c r="D460" s="25" t="s">
        <v>134</v>
      </c>
      <c r="E460" s="25" t="s">
        <v>127</v>
      </c>
      <c r="F460" s="19"/>
      <c r="G460" s="21">
        <f>G461</f>
        <v>264</v>
      </c>
      <c r="H460" s="21">
        <f>H461</f>
        <v>264</v>
      </c>
      <c r="K460" s="21">
        <f>K461</f>
        <v>226.3</v>
      </c>
      <c r="L460" s="21">
        <f>L461</f>
        <v>226.3</v>
      </c>
      <c r="M460" s="83"/>
    </row>
    <row r="461" spans="1:13" ht="15.75">
      <c r="A461" s="18"/>
      <c r="B461" s="14" t="s">
        <v>162</v>
      </c>
      <c r="C461" s="24" t="s">
        <v>26</v>
      </c>
      <c r="D461" s="25" t="s">
        <v>134</v>
      </c>
      <c r="E461" s="25" t="s">
        <v>127</v>
      </c>
      <c r="F461" s="19" t="s">
        <v>160</v>
      </c>
      <c r="G461" s="21">
        <f>G462</f>
        <v>264</v>
      </c>
      <c r="H461" s="21">
        <f>H462</f>
        <v>264</v>
      </c>
      <c r="K461" s="21">
        <f>K462</f>
        <v>226.3</v>
      </c>
      <c r="L461" s="21">
        <f>L462</f>
        <v>226.3</v>
      </c>
      <c r="M461" s="83"/>
    </row>
    <row r="462" spans="1:13" ht="31.5">
      <c r="A462" s="18"/>
      <c r="B462" s="14" t="s">
        <v>163</v>
      </c>
      <c r="C462" s="24" t="s">
        <v>26</v>
      </c>
      <c r="D462" s="25" t="s">
        <v>134</v>
      </c>
      <c r="E462" s="25" t="s">
        <v>127</v>
      </c>
      <c r="F462" s="19" t="s">
        <v>161</v>
      </c>
      <c r="G462" s="21">
        <f>264</f>
        <v>264</v>
      </c>
      <c r="H462" s="21">
        <f>G462</f>
        <v>264</v>
      </c>
      <c r="K462" s="21">
        <v>226.3</v>
      </c>
      <c r="L462" s="21">
        <f>K462</f>
        <v>226.3</v>
      </c>
      <c r="M462" s="83"/>
    </row>
    <row r="463" spans="1:13" ht="31.5">
      <c r="A463" s="18"/>
      <c r="B463" s="14" t="s">
        <v>404</v>
      </c>
      <c r="C463" s="24" t="s">
        <v>26</v>
      </c>
      <c r="D463" s="25" t="s">
        <v>134</v>
      </c>
      <c r="E463" s="25" t="s">
        <v>127</v>
      </c>
      <c r="F463" s="19"/>
      <c r="G463" s="21">
        <f>G464</f>
        <v>2.7</v>
      </c>
      <c r="H463" s="21"/>
      <c r="K463" s="21">
        <f>K464</f>
        <v>2.3</v>
      </c>
      <c r="L463" s="21"/>
      <c r="M463" s="83"/>
    </row>
    <row r="464" spans="1:13" ht="15.75">
      <c r="A464" s="18"/>
      <c r="B464" s="14" t="s">
        <v>162</v>
      </c>
      <c r="C464" s="24" t="s">
        <v>26</v>
      </c>
      <c r="D464" s="25" t="s">
        <v>134</v>
      </c>
      <c r="E464" s="25" t="s">
        <v>127</v>
      </c>
      <c r="F464" s="19" t="s">
        <v>160</v>
      </c>
      <c r="G464" s="21">
        <f>G465</f>
        <v>2.7</v>
      </c>
      <c r="H464" s="21"/>
      <c r="K464" s="21">
        <f>K465</f>
        <v>2.3</v>
      </c>
      <c r="L464" s="21"/>
      <c r="M464" s="83"/>
    </row>
    <row r="465" spans="1:13" ht="31.5">
      <c r="A465" s="18"/>
      <c r="B465" s="14" t="s">
        <v>163</v>
      </c>
      <c r="C465" s="24" t="s">
        <v>26</v>
      </c>
      <c r="D465" s="25" t="s">
        <v>134</v>
      </c>
      <c r="E465" s="25" t="s">
        <v>127</v>
      </c>
      <c r="F465" s="19" t="s">
        <v>161</v>
      </c>
      <c r="G465" s="21">
        <f>2.7</f>
        <v>2.7</v>
      </c>
      <c r="H465" s="21"/>
      <c r="K465" s="21">
        <v>2.3</v>
      </c>
      <c r="L465" s="21"/>
      <c r="M465" s="83"/>
    </row>
    <row r="466" spans="1:13" ht="31.5">
      <c r="A466" s="18"/>
      <c r="B466" s="54" t="s">
        <v>24</v>
      </c>
      <c r="C466" s="24" t="s">
        <v>23</v>
      </c>
      <c r="D466" s="22" t="s">
        <v>134</v>
      </c>
      <c r="E466" s="48" t="s">
        <v>127</v>
      </c>
      <c r="F466" s="43"/>
      <c r="G466" s="47">
        <f>G470+G467</f>
        <v>4402</v>
      </c>
      <c r="H466" s="47">
        <f>H470+H467</f>
        <v>4402</v>
      </c>
      <c r="K466" s="47">
        <f>K470+K467</f>
        <v>4394.9</v>
      </c>
      <c r="L466" s="47">
        <f>L470+L467</f>
        <v>4394.9</v>
      </c>
      <c r="M466" s="83"/>
    </row>
    <row r="467" spans="1:13" ht="94.5">
      <c r="A467" s="18"/>
      <c r="B467" s="14" t="s">
        <v>523</v>
      </c>
      <c r="C467" s="24" t="s">
        <v>408</v>
      </c>
      <c r="D467" s="22" t="s">
        <v>134</v>
      </c>
      <c r="E467" s="25" t="s">
        <v>127</v>
      </c>
      <c r="F467" s="19"/>
      <c r="G467" s="21">
        <f>G468</f>
        <v>2204</v>
      </c>
      <c r="H467" s="21">
        <f>H468</f>
        <v>2204</v>
      </c>
      <c r="K467" s="21">
        <f>K468</f>
        <v>2197.4</v>
      </c>
      <c r="L467" s="21">
        <f>L468</f>
        <v>2197.4</v>
      </c>
      <c r="M467" s="83"/>
    </row>
    <row r="468" spans="1:13" ht="21.75" customHeight="1">
      <c r="A468" s="18"/>
      <c r="B468" s="14" t="s">
        <v>162</v>
      </c>
      <c r="C468" s="24" t="s">
        <v>408</v>
      </c>
      <c r="D468" s="22" t="s">
        <v>134</v>
      </c>
      <c r="E468" s="25" t="s">
        <v>127</v>
      </c>
      <c r="F468" s="19" t="s">
        <v>160</v>
      </c>
      <c r="G468" s="21">
        <f>G469</f>
        <v>2204</v>
      </c>
      <c r="H468" s="21">
        <f>H469</f>
        <v>2204</v>
      </c>
      <c r="K468" s="21">
        <f>K469</f>
        <v>2197.4</v>
      </c>
      <c r="L468" s="21">
        <f>L469</f>
        <v>2197.4</v>
      </c>
      <c r="M468" s="83"/>
    </row>
    <row r="469" spans="1:13" ht="31.5">
      <c r="A469" s="18"/>
      <c r="B469" s="14" t="s">
        <v>163</v>
      </c>
      <c r="C469" s="24" t="s">
        <v>408</v>
      </c>
      <c r="D469" s="22" t="s">
        <v>134</v>
      </c>
      <c r="E469" s="25" t="s">
        <v>127</v>
      </c>
      <c r="F469" s="19" t="s">
        <v>161</v>
      </c>
      <c r="G469" s="21">
        <f>1112-10+1102</f>
        <v>2204</v>
      </c>
      <c r="H469" s="70">
        <f>G469</f>
        <v>2204</v>
      </c>
      <c r="K469" s="21">
        <v>2197.4</v>
      </c>
      <c r="L469" s="70">
        <f>K469</f>
        <v>2197.4</v>
      </c>
      <c r="M469" s="83"/>
    </row>
    <row r="470" spans="1:13" ht="126">
      <c r="A470" s="18"/>
      <c r="B470" s="14" t="s">
        <v>416</v>
      </c>
      <c r="C470" s="24" t="s">
        <v>417</v>
      </c>
      <c r="D470" s="22" t="s">
        <v>134</v>
      </c>
      <c r="E470" s="25" t="s">
        <v>127</v>
      </c>
      <c r="F470" s="19"/>
      <c r="G470" s="21">
        <f>G471</f>
        <v>2198</v>
      </c>
      <c r="H470" s="71">
        <f>H471</f>
        <v>2198</v>
      </c>
      <c r="K470" s="21">
        <f>K471</f>
        <v>2197.5</v>
      </c>
      <c r="L470" s="71">
        <f>L471</f>
        <v>2197.5</v>
      </c>
      <c r="M470" s="83"/>
    </row>
    <row r="471" spans="1:13" ht="15.75">
      <c r="A471" s="18"/>
      <c r="B471" s="14" t="s">
        <v>162</v>
      </c>
      <c r="C471" s="24" t="s">
        <v>417</v>
      </c>
      <c r="D471" s="22" t="s">
        <v>134</v>
      </c>
      <c r="E471" s="25" t="s">
        <v>127</v>
      </c>
      <c r="F471" s="19" t="s">
        <v>160</v>
      </c>
      <c r="G471" s="21">
        <f>G472</f>
        <v>2198</v>
      </c>
      <c r="H471" s="71">
        <f>H472</f>
        <v>2198</v>
      </c>
      <c r="K471" s="21">
        <f>K472</f>
        <v>2197.5</v>
      </c>
      <c r="L471" s="71">
        <f>L472</f>
        <v>2197.5</v>
      </c>
      <c r="M471" s="83"/>
    </row>
    <row r="472" spans="1:13" ht="31.5">
      <c r="A472" s="18"/>
      <c r="B472" s="14" t="s">
        <v>163</v>
      </c>
      <c r="C472" s="24" t="s">
        <v>417</v>
      </c>
      <c r="D472" s="22" t="s">
        <v>134</v>
      </c>
      <c r="E472" s="25" t="s">
        <v>127</v>
      </c>
      <c r="F472" s="19" t="s">
        <v>161</v>
      </c>
      <c r="G472" s="21">
        <v>2198</v>
      </c>
      <c r="H472" s="70">
        <f>G472</f>
        <v>2198</v>
      </c>
      <c r="K472" s="21">
        <v>2197.5</v>
      </c>
      <c r="L472" s="70">
        <f>K472</f>
        <v>2197.5</v>
      </c>
      <c r="M472" s="83"/>
    </row>
    <row r="473" spans="1:13" s="11" customFormat="1" ht="47.25">
      <c r="A473" s="15">
        <v>10</v>
      </c>
      <c r="B473" s="32" t="s">
        <v>394</v>
      </c>
      <c r="C473" s="16" t="s">
        <v>75</v>
      </c>
      <c r="D473" s="22"/>
      <c r="E473" s="22"/>
      <c r="F473" s="19"/>
      <c r="G473" s="40">
        <f>G474</f>
        <v>348027.1</v>
      </c>
      <c r="H473" s="40">
        <f>H474</f>
        <v>202688.3</v>
      </c>
      <c r="K473" s="40">
        <f>K474</f>
        <v>321646.19999999995</v>
      </c>
      <c r="L473" s="40">
        <f>L474</f>
        <v>176715.5</v>
      </c>
      <c r="M473" s="31">
        <f>K473/G473*100</f>
        <v>92.41987190078014</v>
      </c>
    </row>
    <row r="474" spans="1:13" s="11" customFormat="1" ht="15.75">
      <c r="A474" s="15"/>
      <c r="B474" s="18" t="s">
        <v>153</v>
      </c>
      <c r="C474" s="19" t="s">
        <v>75</v>
      </c>
      <c r="D474" s="19" t="s">
        <v>131</v>
      </c>
      <c r="E474" s="19" t="s">
        <v>139</v>
      </c>
      <c r="F474" s="19"/>
      <c r="G474" s="21">
        <f>G475+G486+G533</f>
        <v>348027.1</v>
      </c>
      <c r="H474" s="21">
        <f>H475+H486+H533</f>
        <v>202688.3</v>
      </c>
      <c r="K474" s="21">
        <f>K475+K486+K533</f>
        <v>321646.19999999995</v>
      </c>
      <c r="L474" s="21">
        <f>L475+L486+L533</f>
        <v>176715.5</v>
      </c>
      <c r="M474" s="86"/>
    </row>
    <row r="475" spans="1:13" s="11" customFormat="1" ht="15.75">
      <c r="A475" s="15"/>
      <c r="B475" s="18" t="s">
        <v>372</v>
      </c>
      <c r="C475" s="19" t="s">
        <v>51</v>
      </c>
      <c r="D475" s="19" t="s">
        <v>131</v>
      </c>
      <c r="E475" s="19" t="s">
        <v>150</v>
      </c>
      <c r="F475" s="19"/>
      <c r="G475" s="21">
        <f>G476+G479+G482</f>
        <v>10714</v>
      </c>
      <c r="H475" s="21">
        <f>H476+H479+H482</f>
        <v>7490</v>
      </c>
      <c r="K475" s="21">
        <f>K476+K479+K482</f>
        <v>10278.8</v>
      </c>
      <c r="L475" s="21">
        <f>L476+L479+L482</f>
        <v>7398.6</v>
      </c>
      <c r="M475" s="86"/>
    </row>
    <row r="476" spans="1:13" s="11" customFormat="1" ht="31.5">
      <c r="A476" s="15"/>
      <c r="B476" s="18" t="s">
        <v>361</v>
      </c>
      <c r="C476" s="19" t="s">
        <v>629</v>
      </c>
      <c r="D476" s="19" t="s">
        <v>131</v>
      </c>
      <c r="E476" s="19" t="s">
        <v>150</v>
      </c>
      <c r="F476" s="19"/>
      <c r="G476" s="21">
        <f>G477</f>
        <v>7490</v>
      </c>
      <c r="H476" s="21">
        <f>H477</f>
        <v>7490</v>
      </c>
      <c r="K476" s="21">
        <f>K477</f>
        <v>7398.6</v>
      </c>
      <c r="L476" s="21">
        <f>L477</f>
        <v>7398.6</v>
      </c>
      <c r="M476" s="86"/>
    </row>
    <row r="477" spans="1:13" s="11" customFormat="1" ht="31.5">
      <c r="A477" s="15"/>
      <c r="B477" s="18" t="s">
        <v>53</v>
      </c>
      <c r="C477" s="19" t="s">
        <v>629</v>
      </c>
      <c r="D477" s="19" t="s">
        <v>131</v>
      </c>
      <c r="E477" s="19" t="s">
        <v>150</v>
      </c>
      <c r="F477" s="19" t="s">
        <v>218</v>
      </c>
      <c r="G477" s="21">
        <f>G478</f>
        <v>7490</v>
      </c>
      <c r="H477" s="21">
        <f>H478</f>
        <v>7490</v>
      </c>
      <c r="K477" s="21">
        <f>K478</f>
        <v>7398.6</v>
      </c>
      <c r="L477" s="21">
        <f>L478</f>
        <v>7398.6</v>
      </c>
      <c r="M477" s="86"/>
    </row>
    <row r="478" spans="1:13" s="11" customFormat="1" ht="15.75">
      <c r="A478" s="15"/>
      <c r="B478" s="18" t="s">
        <v>202</v>
      </c>
      <c r="C478" s="19" t="s">
        <v>629</v>
      </c>
      <c r="D478" s="19" t="s">
        <v>131</v>
      </c>
      <c r="E478" s="19" t="s">
        <v>150</v>
      </c>
      <c r="F478" s="19" t="s">
        <v>203</v>
      </c>
      <c r="G478" s="21">
        <f>4534+1413+1543</f>
        <v>7490</v>
      </c>
      <c r="H478" s="21">
        <f>G478</f>
        <v>7490</v>
      </c>
      <c r="K478" s="21">
        <v>7398.6</v>
      </c>
      <c r="L478" s="21">
        <f>K478</f>
        <v>7398.6</v>
      </c>
      <c r="M478" s="86"/>
    </row>
    <row r="479" spans="1:13" s="11" customFormat="1" ht="47.25">
      <c r="A479" s="15"/>
      <c r="B479" s="18" t="s">
        <v>369</v>
      </c>
      <c r="C479" s="19" t="s">
        <v>629</v>
      </c>
      <c r="D479" s="19" t="s">
        <v>131</v>
      </c>
      <c r="E479" s="19" t="s">
        <v>150</v>
      </c>
      <c r="F479" s="19"/>
      <c r="G479" s="21">
        <f>G480</f>
        <v>2924</v>
      </c>
      <c r="H479" s="21">
        <f>H480</f>
        <v>0</v>
      </c>
      <c r="K479" s="21">
        <f>K480</f>
        <v>2880.2</v>
      </c>
      <c r="L479" s="21">
        <f>L480</f>
        <v>0</v>
      </c>
      <c r="M479" s="86"/>
    </row>
    <row r="480" spans="1:13" s="11" customFormat="1" ht="31.5">
      <c r="A480" s="15"/>
      <c r="B480" s="18" t="s">
        <v>53</v>
      </c>
      <c r="C480" s="19" t="s">
        <v>629</v>
      </c>
      <c r="D480" s="19" t="s">
        <v>131</v>
      </c>
      <c r="E480" s="19" t="s">
        <v>150</v>
      </c>
      <c r="F480" s="19" t="s">
        <v>218</v>
      </c>
      <c r="G480" s="21">
        <f>G481</f>
        <v>2924</v>
      </c>
      <c r="H480" s="21">
        <f>H481</f>
        <v>0</v>
      </c>
      <c r="K480" s="21">
        <f>K481</f>
        <v>2880.2</v>
      </c>
      <c r="L480" s="21">
        <f>L481</f>
        <v>0</v>
      </c>
      <c r="M480" s="86"/>
    </row>
    <row r="481" spans="1:13" s="11" customFormat="1" ht="15.75">
      <c r="A481" s="15"/>
      <c r="B481" s="18" t="s">
        <v>202</v>
      </c>
      <c r="C481" s="19" t="s">
        <v>629</v>
      </c>
      <c r="D481" s="19" t="s">
        <v>131</v>
      </c>
      <c r="E481" s="19" t="s">
        <v>150</v>
      </c>
      <c r="F481" s="19" t="s">
        <v>203</v>
      </c>
      <c r="G481" s="21">
        <f>1331+1592+1</f>
        <v>2924</v>
      </c>
      <c r="H481" s="21"/>
      <c r="K481" s="21">
        <v>2880.2</v>
      </c>
      <c r="L481" s="21"/>
      <c r="M481" s="86"/>
    </row>
    <row r="482" spans="1:13" s="11" customFormat="1" ht="15.75">
      <c r="A482" s="15"/>
      <c r="B482" s="18" t="s">
        <v>458</v>
      </c>
      <c r="C482" s="19" t="s">
        <v>536</v>
      </c>
      <c r="D482" s="19" t="s">
        <v>131</v>
      </c>
      <c r="E482" s="19" t="s">
        <v>127</v>
      </c>
      <c r="F482" s="19"/>
      <c r="G482" s="21">
        <f>G483</f>
        <v>300</v>
      </c>
      <c r="H482" s="21"/>
      <c r="K482" s="21">
        <f>K483</f>
        <v>0</v>
      </c>
      <c r="L482" s="21"/>
      <c r="M482" s="86"/>
    </row>
    <row r="483" spans="1:13" s="11" customFormat="1" ht="22.5" customHeight="1">
      <c r="A483" s="15"/>
      <c r="B483" s="18" t="s">
        <v>535</v>
      </c>
      <c r="C483" s="19" t="s">
        <v>536</v>
      </c>
      <c r="D483" s="19" t="s">
        <v>131</v>
      </c>
      <c r="E483" s="19" t="s">
        <v>127</v>
      </c>
      <c r="F483" s="19"/>
      <c r="G483" s="21">
        <f>G484</f>
        <v>300</v>
      </c>
      <c r="H483" s="21"/>
      <c r="K483" s="21">
        <f>K484</f>
        <v>0</v>
      </c>
      <c r="L483" s="21"/>
      <c r="M483" s="86"/>
    </row>
    <row r="484" spans="1:13" s="11" customFormat="1" ht="25.5" customHeight="1">
      <c r="A484" s="15"/>
      <c r="B484" s="18" t="s">
        <v>159</v>
      </c>
      <c r="C484" s="19" t="s">
        <v>536</v>
      </c>
      <c r="D484" s="19" t="s">
        <v>131</v>
      </c>
      <c r="E484" s="19" t="s">
        <v>127</v>
      </c>
      <c r="F484" s="19" t="s">
        <v>158</v>
      </c>
      <c r="G484" s="21">
        <f>G485</f>
        <v>300</v>
      </c>
      <c r="H484" s="21"/>
      <c r="K484" s="21">
        <f>K485</f>
        <v>0</v>
      </c>
      <c r="L484" s="21"/>
      <c r="M484" s="86"/>
    </row>
    <row r="485" spans="1:13" s="11" customFormat="1" ht="33.75" customHeight="1">
      <c r="A485" s="15"/>
      <c r="B485" s="18" t="s">
        <v>165</v>
      </c>
      <c r="C485" s="19" t="s">
        <v>536</v>
      </c>
      <c r="D485" s="19" t="s">
        <v>131</v>
      </c>
      <c r="E485" s="19" t="s">
        <v>127</v>
      </c>
      <c r="F485" s="19" t="s">
        <v>164</v>
      </c>
      <c r="G485" s="21">
        <f>300</f>
        <v>300</v>
      </c>
      <c r="H485" s="21"/>
      <c r="K485" s="21">
        <v>0</v>
      </c>
      <c r="L485" s="21"/>
      <c r="M485" s="86"/>
    </row>
    <row r="486" spans="1:13" s="11" customFormat="1" ht="34.5" customHeight="1">
      <c r="A486" s="15"/>
      <c r="B486" s="18" t="s">
        <v>371</v>
      </c>
      <c r="C486" s="19" t="s">
        <v>376</v>
      </c>
      <c r="D486" s="19" t="s">
        <v>131</v>
      </c>
      <c r="E486" s="19" t="s">
        <v>139</v>
      </c>
      <c r="F486" s="19"/>
      <c r="G486" s="21">
        <f>G506+G512+G494+G497+G515+G527+G503+G521+G530+G487+G518+G524+G500</f>
        <v>337260.8</v>
      </c>
      <c r="H486" s="21">
        <f>H506+H512+H494+H497+H515+H527+H503+H521+H530+H487</f>
        <v>195198.3</v>
      </c>
      <c r="K486" s="21">
        <f>K506+K512+K494+K497+K515+K527+K503+K521+K530+K487+K518+K524+K500</f>
        <v>311349.39999999997</v>
      </c>
      <c r="L486" s="21">
        <f>L506+L512+L494+L497+L515+L527+L503+L521+L530+L487</f>
        <v>169316.9</v>
      </c>
      <c r="M486" s="86"/>
    </row>
    <row r="487" spans="1:13" s="11" customFormat="1" ht="63">
      <c r="A487" s="15"/>
      <c r="B487" s="18" t="s">
        <v>640</v>
      </c>
      <c r="C487" s="19" t="s">
        <v>641</v>
      </c>
      <c r="D487" s="19" t="s">
        <v>131</v>
      </c>
      <c r="E487" s="19" t="s">
        <v>150</v>
      </c>
      <c r="F487" s="21"/>
      <c r="G487" s="21">
        <f>G488+G491</f>
        <v>59900</v>
      </c>
      <c r="H487" s="21">
        <f>H488+H491</f>
        <v>59900</v>
      </c>
      <c r="K487" s="21">
        <f>K488+K491</f>
        <v>59900</v>
      </c>
      <c r="L487" s="21">
        <f>L488+L491</f>
        <v>59900</v>
      </c>
      <c r="M487" s="86"/>
    </row>
    <row r="488" spans="1:13" s="11" customFormat="1" ht="78.75">
      <c r="A488" s="15"/>
      <c r="B488" s="18" t="s">
        <v>648</v>
      </c>
      <c r="C488" s="19" t="s">
        <v>641</v>
      </c>
      <c r="D488" s="19" t="s">
        <v>131</v>
      </c>
      <c r="E488" s="19" t="s">
        <v>150</v>
      </c>
      <c r="F488" s="21"/>
      <c r="G488" s="21">
        <f>G489</f>
        <v>57900</v>
      </c>
      <c r="H488" s="21">
        <f>H489</f>
        <v>57900</v>
      </c>
      <c r="K488" s="21">
        <f>K489</f>
        <v>57900</v>
      </c>
      <c r="L488" s="21">
        <f>L489</f>
        <v>57900</v>
      </c>
      <c r="M488" s="86"/>
    </row>
    <row r="489" spans="1:13" s="11" customFormat="1" ht="15.75">
      <c r="A489" s="15"/>
      <c r="B489" s="18" t="s">
        <v>184</v>
      </c>
      <c r="C489" s="19" t="s">
        <v>641</v>
      </c>
      <c r="D489" s="19" t="s">
        <v>131</v>
      </c>
      <c r="E489" s="19" t="s">
        <v>150</v>
      </c>
      <c r="F489" s="19">
        <v>800</v>
      </c>
      <c r="G489" s="21">
        <f>G490</f>
        <v>57900</v>
      </c>
      <c r="H489" s="21">
        <f>H490</f>
        <v>57900</v>
      </c>
      <c r="K489" s="21">
        <f>K490</f>
        <v>57900</v>
      </c>
      <c r="L489" s="21">
        <f>L490</f>
        <v>57900</v>
      </c>
      <c r="M489" s="86"/>
    </row>
    <row r="490" spans="1:13" s="11" customFormat="1" ht="47.25">
      <c r="A490" s="15"/>
      <c r="B490" s="18" t="s">
        <v>20</v>
      </c>
      <c r="C490" s="19" t="s">
        <v>641</v>
      </c>
      <c r="D490" s="19" t="s">
        <v>131</v>
      </c>
      <c r="E490" s="19" t="s">
        <v>150</v>
      </c>
      <c r="F490" s="19">
        <v>810</v>
      </c>
      <c r="G490" s="21">
        <v>57900</v>
      </c>
      <c r="H490" s="21">
        <f>G490</f>
        <v>57900</v>
      </c>
      <c r="K490" s="21">
        <v>57900</v>
      </c>
      <c r="L490" s="21">
        <f>K490</f>
        <v>57900</v>
      </c>
      <c r="M490" s="86"/>
    </row>
    <row r="491" spans="1:13" s="11" customFormat="1" ht="94.5">
      <c r="A491" s="15"/>
      <c r="B491" s="18" t="s">
        <v>644</v>
      </c>
      <c r="C491" s="19" t="s">
        <v>641</v>
      </c>
      <c r="D491" s="19" t="s">
        <v>131</v>
      </c>
      <c r="E491" s="19" t="s">
        <v>150</v>
      </c>
      <c r="F491" s="21"/>
      <c r="G491" s="21">
        <f>G492</f>
        <v>2000</v>
      </c>
      <c r="H491" s="21">
        <f>H492</f>
        <v>2000</v>
      </c>
      <c r="K491" s="21">
        <f>K492</f>
        <v>2000</v>
      </c>
      <c r="L491" s="21">
        <f>L492</f>
        <v>2000</v>
      </c>
      <c r="M491" s="86"/>
    </row>
    <row r="492" spans="1:13" s="11" customFormat="1" ht="15.75">
      <c r="A492" s="15"/>
      <c r="B492" s="18" t="s">
        <v>184</v>
      </c>
      <c r="C492" s="19" t="s">
        <v>641</v>
      </c>
      <c r="D492" s="19" t="s">
        <v>131</v>
      </c>
      <c r="E492" s="19" t="s">
        <v>150</v>
      </c>
      <c r="F492" s="19">
        <v>800</v>
      </c>
      <c r="G492" s="21">
        <f>G493</f>
        <v>2000</v>
      </c>
      <c r="H492" s="21">
        <f>H493</f>
        <v>2000</v>
      </c>
      <c r="K492" s="21">
        <f>K493</f>
        <v>2000</v>
      </c>
      <c r="L492" s="21">
        <f>L493</f>
        <v>2000</v>
      </c>
      <c r="M492" s="86"/>
    </row>
    <row r="493" spans="1:13" s="11" customFormat="1" ht="47.25">
      <c r="A493" s="15"/>
      <c r="B493" s="18" t="s">
        <v>20</v>
      </c>
      <c r="C493" s="19" t="s">
        <v>641</v>
      </c>
      <c r="D493" s="19" t="s">
        <v>131</v>
      </c>
      <c r="E493" s="19" t="s">
        <v>150</v>
      </c>
      <c r="F493" s="19">
        <v>810</v>
      </c>
      <c r="G493" s="21">
        <v>2000</v>
      </c>
      <c r="H493" s="21">
        <f>G493</f>
        <v>2000</v>
      </c>
      <c r="K493" s="21">
        <v>2000</v>
      </c>
      <c r="L493" s="21">
        <f>K493</f>
        <v>2000</v>
      </c>
      <c r="M493" s="86"/>
    </row>
    <row r="494" spans="1:13" s="11" customFormat="1" ht="31.5">
      <c r="A494" s="15"/>
      <c r="B494" s="18" t="s">
        <v>362</v>
      </c>
      <c r="C494" s="19" t="s">
        <v>377</v>
      </c>
      <c r="D494" s="19" t="s">
        <v>131</v>
      </c>
      <c r="E494" s="19" t="s">
        <v>150</v>
      </c>
      <c r="F494" s="19"/>
      <c r="G494" s="21">
        <f>G495</f>
        <v>22361.300000000003</v>
      </c>
      <c r="H494" s="21">
        <f>H495</f>
        <v>22361.300000000003</v>
      </c>
      <c r="K494" s="21">
        <f>K495</f>
        <v>0</v>
      </c>
      <c r="L494" s="21">
        <f>L495</f>
        <v>0</v>
      </c>
      <c r="M494" s="86"/>
    </row>
    <row r="495" spans="1:13" s="11" customFormat="1" ht="31.5">
      <c r="A495" s="15"/>
      <c r="B495" s="18" t="s">
        <v>53</v>
      </c>
      <c r="C495" s="19" t="s">
        <v>377</v>
      </c>
      <c r="D495" s="19" t="s">
        <v>131</v>
      </c>
      <c r="E495" s="19" t="s">
        <v>150</v>
      </c>
      <c r="F495" s="19" t="s">
        <v>218</v>
      </c>
      <c r="G495" s="21">
        <f>G496</f>
        <v>22361.300000000003</v>
      </c>
      <c r="H495" s="21">
        <f>H496</f>
        <v>22361.300000000003</v>
      </c>
      <c r="K495" s="21">
        <f>K496</f>
        <v>0</v>
      </c>
      <c r="L495" s="21">
        <f>L496</f>
        <v>0</v>
      </c>
      <c r="M495" s="86"/>
    </row>
    <row r="496" spans="1:13" s="11" customFormat="1" ht="110.25">
      <c r="A496" s="15"/>
      <c r="B496" s="18" t="s">
        <v>242</v>
      </c>
      <c r="C496" s="19" t="s">
        <v>377</v>
      </c>
      <c r="D496" s="19" t="s">
        <v>131</v>
      </c>
      <c r="E496" s="19" t="s">
        <v>150</v>
      </c>
      <c r="F496" s="19" t="s">
        <v>243</v>
      </c>
      <c r="G496" s="21">
        <f>35255.9-12894.6</f>
        <v>22361.300000000003</v>
      </c>
      <c r="H496" s="21">
        <f>G496</f>
        <v>22361.300000000003</v>
      </c>
      <c r="K496" s="21">
        <v>0</v>
      </c>
      <c r="L496" s="21">
        <f>K496</f>
        <v>0</v>
      </c>
      <c r="M496" s="86"/>
    </row>
    <row r="497" spans="1:13" s="11" customFormat="1" ht="31.5">
      <c r="A497" s="15"/>
      <c r="B497" s="18" t="s">
        <v>368</v>
      </c>
      <c r="C497" s="19" t="s">
        <v>377</v>
      </c>
      <c r="D497" s="19" t="s">
        <v>131</v>
      </c>
      <c r="E497" s="19" t="s">
        <v>150</v>
      </c>
      <c r="F497" s="19"/>
      <c r="G497" s="21">
        <f>G498</f>
        <v>7970.499999999999</v>
      </c>
      <c r="H497" s="21"/>
      <c r="K497" s="21">
        <f>K498</f>
        <v>7970.499999999999</v>
      </c>
      <c r="L497" s="21"/>
      <c r="M497" s="86"/>
    </row>
    <row r="498" spans="1:13" s="11" customFormat="1" ht="31.5">
      <c r="A498" s="15"/>
      <c r="B498" s="18" t="s">
        <v>53</v>
      </c>
      <c r="C498" s="19" t="s">
        <v>377</v>
      </c>
      <c r="D498" s="19" t="s">
        <v>131</v>
      </c>
      <c r="E498" s="19" t="s">
        <v>150</v>
      </c>
      <c r="F498" s="19" t="s">
        <v>218</v>
      </c>
      <c r="G498" s="21">
        <f>G499</f>
        <v>7970.499999999999</v>
      </c>
      <c r="H498" s="21"/>
      <c r="K498" s="21">
        <f>K499</f>
        <v>7970.499999999999</v>
      </c>
      <c r="L498" s="21"/>
      <c r="M498" s="86"/>
    </row>
    <row r="499" spans="1:13" s="11" customFormat="1" ht="110.25">
      <c r="A499" s="15"/>
      <c r="B499" s="18" t="s">
        <v>242</v>
      </c>
      <c r="C499" s="19" t="s">
        <v>377</v>
      </c>
      <c r="D499" s="19" t="s">
        <v>131</v>
      </c>
      <c r="E499" s="19" t="s">
        <v>150</v>
      </c>
      <c r="F499" s="19" t="s">
        <v>243</v>
      </c>
      <c r="G499" s="21">
        <f>13167.4-5194.6-2.3</f>
        <v>7970.499999999999</v>
      </c>
      <c r="H499" s="21"/>
      <c r="K499" s="21">
        <f>13167.4-5194.6-2.3</f>
        <v>7970.499999999999</v>
      </c>
      <c r="L499" s="21"/>
      <c r="M499" s="86"/>
    </row>
    <row r="500" spans="1:13" s="11" customFormat="1" ht="35.25" customHeight="1">
      <c r="A500" s="15"/>
      <c r="B500" s="18" t="s">
        <v>670</v>
      </c>
      <c r="C500" s="19" t="s">
        <v>671</v>
      </c>
      <c r="D500" s="19" t="s">
        <v>131</v>
      </c>
      <c r="E500" s="19" t="s">
        <v>150</v>
      </c>
      <c r="F500" s="19"/>
      <c r="G500" s="21">
        <f>G501</f>
        <v>30</v>
      </c>
      <c r="H500" s="21"/>
      <c r="K500" s="21">
        <f>K501</f>
        <v>0</v>
      </c>
      <c r="L500" s="21"/>
      <c r="M500" s="86"/>
    </row>
    <row r="501" spans="1:13" s="11" customFormat="1" ht="42.75" customHeight="1">
      <c r="A501" s="15"/>
      <c r="B501" s="18" t="s">
        <v>53</v>
      </c>
      <c r="C501" s="19" t="s">
        <v>671</v>
      </c>
      <c r="D501" s="19" t="s">
        <v>131</v>
      </c>
      <c r="E501" s="19" t="s">
        <v>150</v>
      </c>
      <c r="F501" s="19" t="s">
        <v>218</v>
      </c>
      <c r="G501" s="21">
        <f>G502</f>
        <v>30</v>
      </c>
      <c r="H501" s="21"/>
      <c r="K501" s="21">
        <f>K502</f>
        <v>0</v>
      </c>
      <c r="L501" s="21"/>
      <c r="M501" s="86"/>
    </row>
    <row r="502" spans="1:13" s="11" customFormat="1" ht="110.25">
      <c r="A502" s="15"/>
      <c r="B502" s="18" t="s">
        <v>242</v>
      </c>
      <c r="C502" s="19" t="s">
        <v>671</v>
      </c>
      <c r="D502" s="19" t="s">
        <v>131</v>
      </c>
      <c r="E502" s="19" t="s">
        <v>150</v>
      </c>
      <c r="F502" s="19" t="s">
        <v>243</v>
      </c>
      <c r="G502" s="21">
        <v>30</v>
      </c>
      <c r="H502" s="21"/>
      <c r="K502" s="21">
        <v>0</v>
      </c>
      <c r="L502" s="21"/>
      <c r="M502" s="86"/>
    </row>
    <row r="503" spans="1:13" s="11" customFormat="1" ht="66.75" customHeight="1">
      <c r="A503" s="15"/>
      <c r="B503" s="18" t="s">
        <v>599</v>
      </c>
      <c r="C503" s="19" t="s">
        <v>600</v>
      </c>
      <c r="D503" s="19" t="s">
        <v>131</v>
      </c>
      <c r="E503" s="19" t="s">
        <v>150</v>
      </c>
      <c r="F503" s="19"/>
      <c r="G503" s="21">
        <f>G504</f>
        <v>2395</v>
      </c>
      <c r="H503" s="21">
        <f>H504</f>
        <v>2395</v>
      </c>
      <c r="K503" s="21">
        <f>K504</f>
        <v>2394.1</v>
      </c>
      <c r="L503" s="21">
        <f>L504</f>
        <v>2394.1</v>
      </c>
      <c r="M503" s="86"/>
    </row>
    <row r="504" spans="1:13" s="11" customFormat="1" ht="21" customHeight="1">
      <c r="A504" s="15"/>
      <c r="B504" s="18" t="s">
        <v>159</v>
      </c>
      <c r="C504" s="19" t="s">
        <v>600</v>
      </c>
      <c r="D504" s="19" t="s">
        <v>131</v>
      </c>
      <c r="E504" s="19" t="s">
        <v>150</v>
      </c>
      <c r="F504" s="21" t="s">
        <v>158</v>
      </c>
      <c r="G504" s="21">
        <f>G505</f>
        <v>2395</v>
      </c>
      <c r="H504" s="21">
        <f>H505</f>
        <v>2395</v>
      </c>
      <c r="K504" s="21">
        <f>K505</f>
        <v>2394.1</v>
      </c>
      <c r="L504" s="21">
        <f>L505</f>
        <v>2394.1</v>
      </c>
      <c r="M504" s="86"/>
    </row>
    <row r="505" spans="1:13" s="11" customFormat="1" ht="33.75" customHeight="1">
      <c r="A505" s="15"/>
      <c r="B505" s="18" t="s">
        <v>165</v>
      </c>
      <c r="C505" s="19" t="s">
        <v>600</v>
      </c>
      <c r="D505" s="19" t="s">
        <v>131</v>
      </c>
      <c r="E505" s="19" t="s">
        <v>150</v>
      </c>
      <c r="F505" s="21" t="s">
        <v>164</v>
      </c>
      <c r="G505" s="21">
        <f>2395</f>
        <v>2395</v>
      </c>
      <c r="H505" s="21">
        <f>2395</f>
        <v>2395</v>
      </c>
      <c r="K505" s="21">
        <v>2394.1</v>
      </c>
      <c r="L505" s="21">
        <v>2394.1</v>
      </c>
      <c r="M505" s="86"/>
    </row>
    <row r="506" spans="1:13" s="11" customFormat="1" ht="47.25">
      <c r="A506" s="15"/>
      <c r="B506" s="18" t="s">
        <v>303</v>
      </c>
      <c r="C506" s="19" t="s">
        <v>378</v>
      </c>
      <c r="D506" s="19" t="s">
        <v>131</v>
      </c>
      <c r="E506" s="19" t="s">
        <v>131</v>
      </c>
      <c r="F506" s="19"/>
      <c r="G506" s="21">
        <f>G507</f>
        <v>9018</v>
      </c>
      <c r="H506" s="21">
        <f>H507</f>
        <v>9018</v>
      </c>
      <c r="K506" s="21">
        <f>K507</f>
        <v>8966.900000000001</v>
      </c>
      <c r="L506" s="21">
        <f>L507</f>
        <v>8966.900000000001</v>
      </c>
      <c r="M506" s="86"/>
    </row>
    <row r="507" spans="1:13" s="11" customFormat="1" ht="31.5">
      <c r="A507" s="15"/>
      <c r="B507" s="18" t="s">
        <v>304</v>
      </c>
      <c r="C507" s="19" t="s">
        <v>378</v>
      </c>
      <c r="D507" s="19" t="s">
        <v>131</v>
      </c>
      <c r="E507" s="19" t="s">
        <v>131</v>
      </c>
      <c r="F507" s="19"/>
      <c r="G507" s="21">
        <f>G508+G510</f>
        <v>9018</v>
      </c>
      <c r="H507" s="21">
        <f>H508+H510</f>
        <v>9018</v>
      </c>
      <c r="K507" s="21">
        <f>K508+K510</f>
        <v>8966.900000000001</v>
      </c>
      <c r="L507" s="21">
        <f>L508+L510</f>
        <v>8966.900000000001</v>
      </c>
      <c r="M507" s="86"/>
    </row>
    <row r="508" spans="1:13" s="11" customFormat="1" ht="63">
      <c r="A508" s="15"/>
      <c r="B508" s="18" t="s">
        <v>170</v>
      </c>
      <c r="C508" s="19" t="s">
        <v>378</v>
      </c>
      <c r="D508" s="19" t="s">
        <v>131</v>
      </c>
      <c r="E508" s="19" t="s">
        <v>131</v>
      </c>
      <c r="F508" s="21" t="s">
        <v>168</v>
      </c>
      <c r="G508" s="21">
        <f>G509</f>
        <v>8647.2</v>
      </c>
      <c r="H508" s="21">
        <f>H509</f>
        <v>8647.2</v>
      </c>
      <c r="K508" s="21">
        <f>K509</f>
        <v>8633.7</v>
      </c>
      <c r="L508" s="21">
        <f>L509</f>
        <v>8633.7</v>
      </c>
      <c r="M508" s="86"/>
    </row>
    <row r="509" spans="1:13" s="11" customFormat="1" ht="15.75">
      <c r="A509" s="15"/>
      <c r="B509" s="14" t="s">
        <v>171</v>
      </c>
      <c r="C509" s="19" t="s">
        <v>378</v>
      </c>
      <c r="D509" s="19" t="s">
        <v>131</v>
      </c>
      <c r="E509" s="19" t="s">
        <v>131</v>
      </c>
      <c r="F509" s="24" t="s">
        <v>169</v>
      </c>
      <c r="G509" s="21">
        <v>8647.2</v>
      </c>
      <c r="H509" s="21">
        <f>G509</f>
        <v>8647.2</v>
      </c>
      <c r="K509" s="21">
        <v>8633.7</v>
      </c>
      <c r="L509" s="21">
        <f>K509</f>
        <v>8633.7</v>
      </c>
      <c r="M509" s="86"/>
    </row>
    <row r="510" spans="1:13" s="11" customFormat="1" ht="15.75">
      <c r="A510" s="15"/>
      <c r="B510" s="18" t="s">
        <v>159</v>
      </c>
      <c r="C510" s="19" t="s">
        <v>378</v>
      </c>
      <c r="D510" s="19" t="s">
        <v>131</v>
      </c>
      <c r="E510" s="19" t="s">
        <v>131</v>
      </c>
      <c r="F510" s="21" t="s">
        <v>158</v>
      </c>
      <c r="G510" s="21">
        <f>G511</f>
        <v>370.8</v>
      </c>
      <c r="H510" s="21">
        <f>H511</f>
        <v>370.8</v>
      </c>
      <c r="K510" s="21">
        <f>K511</f>
        <v>333.2</v>
      </c>
      <c r="L510" s="21">
        <f>L511</f>
        <v>333.2</v>
      </c>
      <c r="M510" s="86"/>
    </row>
    <row r="511" spans="1:13" s="11" customFormat="1" ht="31.5">
      <c r="A511" s="15"/>
      <c r="B511" s="18" t="s">
        <v>165</v>
      </c>
      <c r="C511" s="19" t="s">
        <v>378</v>
      </c>
      <c r="D511" s="19" t="s">
        <v>131</v>
      </c>
      <c r="E511" s="19" t="s">
        <v>131</v>
      </c>
      <c r="F511" s="21" t="s">
        <v>164</v>
      </c>
      <c r="G511" s="21">
        <v>370.8</v>
      </c>
      <c r="H511" s="21">
        <f>G511</f>
        <v>370.8</v>
      </c>
      <c r="K511" s="21">
        <v>333.2</v>
      </c>
      <c r="L511" s="21">
        <f>K511</f>
        <v>333.2</v>
      </c>
      <c r="M511" s="86"/>
    </row>
    <row r="512" spans="1:13" s="11" customFormat="1" ht="63">
      <c r="A512" s="15"/>
      <c r="B512" s="18" t="s">
        <v>302</v>
      </c>
      <c r="C512" s="19" t="s">
        <v>379</v>
      </c>
      <c r="D512" s="19" t="s">
        <v>134</v>
      </c>
      <c r="E512" s="19" t="s">
        <v>127</v>
      </c>
      <c r="F512" s="19"/>
      <c r="G512" s="21">
        <f>G514</f>
        <v>101524</v>
      </c>
      <c r="H512" s="21">
        <f>H514</f>
        <v>101524</v>
      </c>
      <c r="K512" s="21">
        <f>K514</f>
        <v>98055.9</v>
      </c>
      <c r="L512" s="21">
        <f>L514</f>
        <v>98055.9</v>
      </c>
      <c r="M512" s="86"/>
    </row>
    <row r="513" spans="1:13" s="11" customFormat="1" ht="15.75">
      <c r="A513" s="15"/>
      <c r="B513" s="18" t="s">
        <v>162</v>
      </c>
      <c r="C513" s="19" t="s">
        <v>379</v>
      </c>
      <c r="D513" s="19" t="s">
        <v>134</v>
      </c>
      <c r="E513" s="19" t="s">
        <v>127</v>
      </c>
      <c r="F513" s="21" t="s">
        <v>160</v>
      </c>
      <c r="G513" s="21">
        <f>G514</f>
        <v>101524</v>
      </c>
      <c r="H513" s="21">
        <f>H514</f>
        <v>101524</v>
      </c>
      <c r="K513" s="21">
        <f>K514</f>
        <v>98055.9</v>
      </c>
      <c r="L513" s="21">
        <f>L514</f>
        <v>98055.9</v>
      </c>
      <c r="M513" s="86"/>
    </row>
    <row r="514" spans="1:13" s="11" customFormat="1" ht="31.5">
      <c r="A514" s="15"/>
      <c r="B514" s="18" t="s">
        <v>163</v>
      </c>
      <c r="C514" s="19" t="s">
        <v>379</v>
      </c>
      <c r="D514" s="19" t="s">
        <v>134</v>
      </c>
      <c r="E514" s="19" t="s">
        <v>127</v>
      </c>
      <c r="F514" s="21" t="s">
        <v>161</v>
      </c>
      <c r="G514" s="21">
        <f>115524-14000</f>
        <v>101524</v>
      </c>
      <c r="H514" s="21">
        <f>G514</f>
        <v>101524</v>
      </c>
      <c r="K514" s="21">
        <v>98055.9</v>
      </c>
      <c r="L514" s="21">
        <f>K514</f>
        <v>98055.9</v>
      </c>
      <c r="M514" s="86"/>
    </row>
    <row r="515" spans="1:13" s="11" customFormat="1" ht="125.25" customHeight="1">
      <c r="A515" s="15"/>
      <c r="B515" s="18" t="s">
        <v>638</v>
      </c>
      <c r="C515" s="19" t="s">
        <v>386</v>
      </c>
      <c r="D515" s="19" t="s">
        <v>131</v>
      </c>
      <c r="E515" s="19" t="s">
        <v>150</v>
      </c>
      <c r="F515" s="21"/>
      <c r="G515" s="21">
        <f>G516</f>
        <v>69410.2</v>
      </c>
      <c r="H515" s="21">
        <f>H516</f>
        <v>0</v>
      </c>
      <c r="K515" s="21">
        <f>K516</f>
        <v>69410.2</v>
      </c>
      <c r="L515" s="21">
        <f>L516</f>
        <v>0</v>
      </c>
      <c r="M515" s="86"/>
    </row>
    <row r="516" spans="1:13" s="11" customFormat="1" ht="15.75">
      <c r="A516" s="15"/>
      <c r="B516" s="18" t="s">
        <v>184</v>
      </c>
      <c r="C516" s="19" t="s">
        <v>386</v>
      </c>
      <c r="D516" s="19" t="s">
        <v>131</v>
      </c>
      <c r="E516" s="19" t="s">
        <v>150</v>
      </c>
      <c r="F516" s="21" t="s">
        <v>185</v>
      </c>
      <c r="G516" s="21">
        <f>G517</f>
        <v>69410.2</v>
      </c>
      <c r="H516" s="21">
        <f>H517</f>
        <v>0</v>
      </c>
      <c r="K516" s="21">
        <f>K517</f>
        <v>69410.2</v>
      </c>
      <c r="L516" s="21">
        <f>L517</f>
        <v>0</v>
      </c>
      <c r="M516" s="86"/>
    </row>
    <row r="517" spans="1:13" s="11" customFormat="1" ht="47.25">
      <c r="A517" s="15"/>
      <c r="B517" s="18" t="s">
        <v>391</v>
      </c>
      <c r="C517" s="19" t="s">
        <v>386</v>
      </c>
      <c r="D517" s="19" t="s">
        <v>131</v>
      </c>
      <c r="E517" s="19" t="s">
        <v>150</v>
      </c>
      <c r="F517" s="57">
        <v>840</v>
      </c>
      <c r="G517" s="21">
        <f>49910.2+55800-1521-6600-47679+19500</f>
        <v>69410.2</v>
      </c>
      <c r="H517" s="21">
        <v>0</v>
      </c>
      <c r="K517" s="21">
        <f>49910.2+55800-1521-6600-47679+19500</f>
        <v>69410.2</v>
      </c>
      <c r="L517" s="21">
        <v>0</v>
      </c>
      <c r="M517" s="86"/>
    </row>
    <row r="518" spans="1:13" s="11" customFormat="1" ht="110.25">
      <c r="A518" s="15"/>
      <c r="B518" s="18" t="s">
        <v>642</v>
      </c>
      <c r="C518" s="19" t="s">
        <v>643</v>
      </c>
      <c r="D518" s="19" t="s">
        <v>131</v>
      </c>
      <c r="E518" s="19" t="s">
        <v>150</v>
      </c>
      <c r="F518" s="57"/>
      <c r="G518" s="21">
        <f>G519</f>
        <v>5247.2</v>
      </c>
      <c r="H518" s="21"/>
      <c r="K518" s="21">
        <f>K519</f>
        <v>5247.2</v>
      </c>
      <c r="L518" s="21"/>
      <c r="M518" s="86"/>
    </row>
    <row r="519" spans="1:13" s="11" customFormat="1" ht="15.75">
      <c r="A519" s="15"/>
      <c r="B519" s="18" t="s">
        <v>184</v>
      </c>
      <c r="C519" s="19" t="s">
        <v>643</v>
      </c>
      <c r="D519" s="19" t="s">
        <v>131</v>
      </c>
      <c r="E519" s="19" t="s">
        <v>150</v>
      </c>
      <c r="F519" s="57" t="s">
        <v>185</v>
      </c>
      <c r="G519" s="21">
        <f>G520</f>
        <v>5247.2</v>
      </c>
      <c r="H519" s="21"/>
      <c r="K519" s="21">
        <f>K520</f>
        <v>5247.2</v>
      </c>
      <c r="L519" s="21"/>
      <c r="M519" s="86"/>
    </row>
    <row r="520" spans="1:13" s="11" customFormat="1" ht="47.25">
      <c r="A520" s="15"/>
      <c r="B520" s="18" t="s">
        <v>20</v>
      </c>
      <c r="C520" s="19" t="s">
        <v>643</v>
      </c>
      <c r="D520" s="19" t="s">
        <v>131</v>
      </c>
      <c r="E520" s="19" t="s">
        <v>150</v>
      </c>
      <c r="F520" s="57" t="s">
        <v>191</v>
      </c>
      <c r="G520" s="21">
        <v>5247.2</v>
      </c>
      <c r="H520" s="21"/>
      <c r="K520" s="21">
        <v>5247.2</v>
      </c>
      <c r="L520" s="21"/>
      <c r="M520" s="86"/>
    </row>
    <row r="521" spans="1:13" s="11" customFormat="1" ht="110.25">
      <c r="A521" s="15"/>
      <c r="B521" s="18" t="s">
        <v>602</v>
      </c>
      <c r="C521" s="19" t="s">
        <v>601</v>
      </c>
      <c r="D521" s="19" t="s">
        <v>131</v>
      </c>
      <c r="E521" s="19" t="s">
        <v>150</v>
      </c>
      <c r="F521" s="21"/>
      <c r="G521" s="21">
        <f>G522</f>
        <v>50000</v>
      </c>
      <c r="H521" s="21">
        <f>H522</f>
        <v>0</v>
      </c>
      <c r="K521" s="21">
        <f>K522</f>
        <v>50000</v>
      </c>
      <c r="L521" s="21">
        <f>L522</f>
        <v>0</v>
      </c>
      <c r="M521" s="86"/>
    </row>
    <row r="522" spans="1:13" s="11" customFormat="1" ht="15.75">
      <c r="A522" s="15"/>
      <c r="B522" s="18" t="s">
        <v>184</v>
      </c>
      <c r="C522" s="19" t="s">
        <v>601</v>
      </c>
      <c r="D522" s="19" t="s">
        <v>131</v>
      </c>
      <c r="E522" s="19" t="s">
        <v>150</v>
      </c>
      <c r="F522" s="21" t="s">
        <v>185</v>
      </c>
      <c r="G522" s="21">
        <f>G523</f>
        <v>50000</v>
      </c>
      <c r="H522" s="21">
        <f>H523</f>
        <v>0</v>
      </c>
      <c r="K522" s="21">
        <f>K523</f>
        <v>50000</v>
      </c>
      <c r="L522" s="21">
        <f>L523</f>
        <v>0</v>
      </c>
      <c r="M522" s="86"/>
    </row>
    <row r="523" spans="1:13" s="11" customFormat="1" ht="47.25">
      <c r="A523" s="15"/>
      <c r="B523" s="18" t="s">
        <v>391</v>
      </c>
      <c r="C523" s="19" t="s">
        <v>601</v>
      </c>
      <c r="D523" s="19" t="s">
        <v>131</v>
      </c>
      <c r="E523" s="19" t="s">
        <v>150</v>
      </c>
      <c r="F523" s="57">
        <v>840</v>
      </c>
      <c r="G523" s="21">
        <f>47679+2321</f>
        <v>50000</v>
      </c>
      <c r="H523" s="21">
        <v>0</v>
      </c>
      <c r="K523" s="21">
        <f>47679+2321</f>
        <v>50000</v>
      </c>
      <c r="L523" s="21">
        <v>0</v>
      </c>
      <c r="M523" s="86"/>
    </row>
    <row r="524" spans="1:13" s="11" customFormat="1" ht="33" customHeight="1">
      <c r="A524" s="15"/>
      <c r="B524" s="18" t="s">
        <v>651</v>
      </c>
      <c r="C524" s="19" t="s">
        <v>652</v>
      </c>
      <c r="D524" s="19" t="s">
        <v>131</v>
      </c>
      <c r="E524" s="19" t="s">
        <v>150</v>
      </c>
      <c r="F524" s="57"/>
      <c r="G524" s="21">
        <f>G525</f>
        <v>1404.6</v>
      </c>
      <c r="H524" s="21"/>
      <c r="K524" s="21">
        <f>K525</f>
        <v>1404.6</v>
      </c>
      <c r="L524" s="21"/>
      <c r="M524" s="86"/>
    </row>
    <row r="525" spans="1:13" s="11" customFormat="1" ht="15.75">
      <c r="A525" s="15"/>
      <c r="B525" s="18" t="s">
        <v>159</v>
      </c>
      <c r="C525" s="19" t="s">
        <v>652</v>
      </c>
      <c r="D525" s="19" t="s">
        <v>131</v>
      </c>
      <c r="E525" s="19" t="s">
        <v>150</v>
      </c>
      <c r="F525" s="57">
        <v>200</v>
      </c>
      <c r="G525" s="21">
        <f>G526</f>
        <v>1404.6</v>
      </c>
      <c r="H525" s="21"/>
      <c r="K525" s="21">
        <f>K526</f>
        <v>1404.6</v>
      </c>
      <c r="L525" s="21"/>
      <c r="M525" s="86"/>
    </row>
    <row r="526" spans="1:13" s="11" customFormat="1" ht="31.5">
      <c r="A526" s="15"/>
      <c r="B526" s="18" t="s">
        <v>165</v>
      </c>
      <c r="C526" s="19" t="s">
        <v>652</v>
      </c>
      <c r="D526" s="19" t="s">
        <v>131</v>
      </c>
      <c r="E526" s="19" t="s">
        <v>150</v>
      </c>
      <c r="F526" s="57">
        <v>240</v>
      </c>
      <c r="G526" s="21">
        <v>1404.6</v>
      </c>
      <c r="H526" s="21"/>
      <c r="K526" s="21">
        <v>1404.6</v>
      </c>
      <c r="L526" s="21"/>
      <c r="M526" s="86"/>
    </row>
    <row r="527" spans="1:13" s="11" customFormat="1" ht="94.5">
      <c r="A527" s="15"/>
      <c r="B527" s="18" t="s">
        <v>584</v>
      </c>
      <c r="C527" s="19" t="s">
        <v>585</v>
      </c>
      <c r="D527" s="19" t="s">
        <v>131</v>
      </c>
      <c r="E527" s="19" t="s">
        <v>150</v>
      </c>
      <c r="F527" s="21"/>
      <c r="G527" s="21">
        <f>G528</f>
        <v>5000</v>
      </c>
      <c r="H527" s="21"/>
      <c r="K527" s="21">
        <f>K528</f>
        <v>5000</v>
      </c>
      <c r="L527" s="21"/>
      <c r="M527" s="86"/>
    </row>
    <row r="528" spans="1:13" s="11" customFormat="1" ht="34.5" customHeight="1">
      <c r="A528" s="15"/>
      <c r="B528" s="18" t="s">
        <v>53</v>
      </c>
      <c r="C528" s="19" t="s">
        <v>585</v>
      </c>
      <c r="D528" s="19" t="s">
        <v>131</v>
      </c>
      <c r="E528" s="19" t="s">
        <v>150</v>
      </c>
      <c r="F528" s="19">
        <v>400</v>
      </c>
      <c r="G528" s="21">
        <f>G529</f>
        <v>5000</v>
      </c>
      <c r="H528" s="21"/>
      <c r="K528" s="21">
        <f>K529</f>
        <v>5000</v>
      </c>
      <c r="L528" s="21"/>
      <c r="M528" s="86"/>
    </row>
    <row r="529" spans="1:13" s="11" customFormat="1" ht="102.75" customHeight="1">
      <c r="A529" s="15"/>
      <c r="B529" s="18" t="s">
        <v>242</v>
      </c>
      <c r="C529" s="19" t="s">
        <v>585</v>
      </c>
      <c r="D529" s="19" t="s">
        <v>131</v>
      </c>
      <c r="E529" s="19" t="s">
        <v>150</v>
      </c>
      <c r="F529" s="19">
        <v>460</v>
      </c>
      <c r="G529" s="21">
        <v>5000</v>
      </c>
      <c r="H529" s="21"/>
      <c r="K529" s="21">
        <v>5000</v>
      </c>
      <c r="L529" s="21"/>
      <c r="M529" s="86"/>
    </row>
    <row r="530" spans="1:13" s="11" customFormat="1" ht="103.5" customHeight="1">
      <c r="A530" s="15"/>
      <c r="B530" s="18" t="s">
        <v>637</v>
      </c>
      <c r="C530" s="19" t="s">
        <v>630</v>
      </c>
      <c r="D530" s="19" t="s">
        <v>131</v>
      </c>
      <c r="E530" s="19" t="s">
        <v>150</v>
      </c>
      <c r="F530" s="21"/>
      <c r="G530" s="21">
        <f>G531</f>
        <v>3000</v>
      </c>
      <c r="H530" s="21"/>
      <c r="K530" s="21">
        <f>K531</f>
        <v>3000</v>
      </c>
      <c r="L530" s="21"/>
      <c r="M530" s="86"/>
    </row>
    <row r="531" spans="1:13" s="11" customFormat="1" ht="32.25" customHeight="1">
      <c r="A531" s="15"/>
      <c r="B531" s="18" t="s">
        <v>184</v>
      </c>
      <c r="C531" s="19" t="s">
        <v>630</v>
      </c>
      <c r="D531" s="19" t="s">
        <v>131</v>
      </c>
      <c r="E531" s="19" t="s">
        <v>150</v>
      </c>
      <c r="F531" s="19">
        <v>800</v>
      </c>
      <c r="G531" s="21">
        <f>G532</f>
        <v>3000</v>
      </c>
      <c r="H531" s="21"/>
      <c r="K531" s="21">
        <f>K532</f>
        <v>3000</v>
      </c>
      <c r="L531" s="21"/>
      <c r="M531" s="86"/>
    </row>
    <row r="532" spans="1:13" s="11" customFormat="1" ht="53.25" customHeight="1">
      <c r="A532" s="15"/>
      <c r="B532" s="18" t="s">
        <v>20</v>
      </c>
      <c r="C532" s="19" t="s">
        <v>630</v>
      </c>
      <c r="D532" s="19" t="s">
        <v>131</v>
      </c>
      <c r="E532" s="19" t="s">
        <v>150</v>
      </c>
      <c r="F532" s="19">
        <v>810</v>
      </c>
      <c r="G532" s="21">
        <v>3000</v>
      </c>
      <c r="H532" s="21"/>
      <c r="K532" s="21">
        <v>3000</v>
      </c>
      <c r="L532" s="21"/>
      <c r="M532" s="86"/>
    </row>
    <row r="533" spans="1:13" s="11" customFormat="1" ht="31.5">
      <c r="A533" s="15"/>
      <c r="B533" s="18" t="s">
        <v>373</v>
      </c>
      <c r="C533" s="19" t="s">
        <v>374</v>
      </c>
      <c r="D533" s="19" t="s">
        <v>131</v>
      </c>
      <c r="E533" s="19" t="s">
        <v>150</v>
      </c>
      <c r="F533" s="21"/>
      <c r="G533" s="21">
        <f>G534</f>
        <v>52.299999999999955</v>
      </c>
      <c r="H533" s="21"/>
      <c r="K533" s="21">
        <f>K534</f>
        <v>18</v>
      </c>
      <c r="L533" s="21"/>
      <c r="M533" s="86"/>
    </row>
    <row r="534" spans="1:13" s="11" customFormat="1" ht="31.5">
      <c r="A534" s="15"/>
      <c r="B534" s="18" t="s">
        <v>432</v>
      </c>
      <c r="C534" s="19" t="s">
        <v>375</v>
      </c>
      <c r="D534" s="19" t="s">
        <v>131</v>
      </c>
      <c r="E534" s="19" t="s">
        <v>150</v>
      </c>
      <c r="F534" s="21"/>
      <c r="G534" s="21">
        <f>G535</f>
        <v>52.299999999999955</v>
      </c>
      <c r="H534" s="21"/>
      <c r="K534" s="21">
        <f>K535</f>
        <v>18</v>
      </c>
      <c r="L534" s="21"/>
      <c r="M534" s="86"/>
    </row>
    <row r="535" spans="1:13" s="11" customFormat="1" ht="15.75">
      <c r="A535" s="15"/>
      <c r="B535" s="18" t="s">
        <v>159</v>
      </c>
      <c r="C535" s="19" t="s">
        <v>375</v>
      </c>
      <c r="D535" s="19" t="s">
        <v>131</v>
      </c>
      <c r="E535" s="19" t="s">
        <v>150</v>
      </c>
      <c r="F535" s="21" t="s">
        <v>158</v>
      </c>
      <c r="G535" s="21">
        <f>G536</f>
        <v>52.299999999999955</v>
      </c>
      <c r="H535" s="21"/>
      <c r="K535" s="21">
        <f>K536</f>
        <v>18</v>
      </c>
      <c r="L535" s="21"/>
      <c r="M535" s="86"/>
    </row>
    <row r="536" spans="1:13" s="11" customFormat="1" ht="31.5">
      <c r="A536" s="15"/>
      <c r="B536" s="18" t="s">
        <v>165</v>
      </c>
      <c r="C536" s="19" t="s">
        <v>375</v>
      </c>
      <c r="D536" s="19" t="s">
        <v>131</v>
      </c>
      <c r="E536" s="19" t="s">
        <v>150</v>
      </c>
      <c r="F536" s="21" t="s">
        <v>164</v>
      </c>
      <c r="G536" s="21">
        <f>2000-1000+2.3-950</f>
        <v>52.299999999999955</v>
      </c>
      <c r="H536" s="21"/>
      <c r="K536" s="21">
        <v>18</v>
      </c>
      <c r="L536" s="21"/>
      <c r="M536" s="86"/>
    </row>
    <row r="537" spans="1:13" s="11" customFormat="1" ht="63">
      <c r="A537" s="15">
        <v>11</v>
      </c>
      <c r="B537" s="32" t="s">
        <v>324</v>
      </c>
      <c r="C537" s="41" t="s">
        <v>76</v>
      </c>
      <c r="D537" s="20"/>
      <c r="E537" s="20"/>
      <c r="F537" s="19"/>
      <c r="G537" s="40">
        <f>G538+G565</f>
        <v>36141.7</v>
      </c>
      <c r="H537" s="40">
        <f>H538</f>
        <v>0</v>
      </c>
      <c r="K537" s="40">
        <f>K538+K565</f>
        <v>36131.6</v>
      </c>
      <c r="L537" s="40">
        <f>L538</f>
        <v>0</v>
      </c>
      <c r="M537" s="31">
        <f>K537/G537*100</f>
        <v>99.97205444126868</v>
      </c>
    </row>
    <row r="538" spans="1:13" s="11" customFormat="1" ht="15.75">
      <c r="A538" s="18"/>
      <c r="B538" s="18" t="s">
        <v>128</v>
      </c>
      <c r="C538" s="19" t="s">
        <v>76</v>
      </c>
      <c r="D538" s="19" t="s">
        <v>129</v>
      </c>
      <c r="E538" s="19" t="s">
        <v>139</v>
      </c>
      <c r="F538" s="19"/>
      <c r="G538" s="21">
        <f>G539+G559+G562</f>
        <v>35093.7</v>
      </c>
      <c r="H538" s="21">
        <f>H539</f>
        <v>0</v>
      </c>
      <c r="K538" s="21">
        <f>K539+K559+K562</f>
        <v>35083.6</v>
      </c>
      <c r="L538" s="21">
        <f>L539</f>
        <v>0</v>
      </c>
      <c r="M538" s="86"/>
    </row>
    <row r="539" spans="1:13" s="11" customFormat="1" ht="15.75">
      <c r="A539" s="18"/>
      <c r="B539" s="18" t="s">
        <v>138</v>
      </c>
      <c r="C539" s="19" t="s">
        <v>281</v>
      </c>
      <c r="D539" s="19" t="s">
        <v>129</v>
      </c>
      <c r="E539" s="19" t="s">
        <v>137</v>
      </c>
      <c r="F539" s="19"/>
      <c r="G539" s="21">
        <f>G540+G551+G547+G553+G556</f>
        <v>25045.699999999997</v>
      </c>
      <c r="H539" s="21">
        <f>H551</f>
        <v>0</v>
      </c>
      <c r="K539" s="21">
        <f>K540+K551+K547+K553+K556</f>
        <v>25035.6</v>
      </c>
      <c r="L539" s="21">
        <f>L551</f>
        <v>0</v>
      </c>
      <c r="M539" s="86"/>
    </row>
    <row r="540" spans="1:13" s="11" customFormat="1" ht="31.5">
      <c r="A540" s="18"/>
      <c r="B540" s="18" t="s">
        <v>240</v>
      </c>
      <c r="C540" s="19" t="s">
        <v>281</v>
      </c>
      <c r="D540" s="19" t="s">
        <v>129</v>
      </c>
      <c r="E540" s="19" t="s">
        <v>137</v>
      </c>
      <c r="F540" s="19"/>
      <c r="G540" s="21">
        <f>G541+G543+G545</f>
        <v>19197.8</v>
      </c>
      <c r="H540" s="21"/>
      <c r="K540" s="21">
        <f>K541+K543+K545</f>
        <v>19197.8</v>
      </c>
      <c r="L540" s="21"/>
      <c r="M540" s="86"/>
    </row>
    <row r="541" spans="1:13" s="11" customFormat="1" ht="63">
      <c r="A541" s="18"/>
      <c r="B541" s="18" t="s">
        <v>170</v>
      </c>
      <c r="C541" s="19" t="s">
        <v>281</v>
      </c>
      <c r="D541" s="19" t="s">
        <v>129</v>
      </c>
      <c r="E541" s="19" t="s">
        <v>137</v>
      </c>
      <c r="F541" s="19" t="s">
        <v>168</v>
      </c>
      <c r="G541" s="21">
        <f>G542</f>
        <v>17255.7</v>
      </c>
      <c r="H541" s="21"/>
      <c r="K541" s="21">
        <f>K542</f>
        <v>17255.7</v>
      </c>
      <c r="L541" s="21"/>
      <c r="M541" s="86"/>
    </row>
    <row r="542" spans="1:13" s="11" customFormat="1" ht="15.75">
      <c r="A542" s="18"/>
      <c r="B542" s="18" t="s">
        <v>189</v>
      </c>
      <c r="C542" s="19" t="s">
        <v>281</v>
      </c>
      <c r="D542" s="19" t="s">
        <v>129</v>
      </c>
      <c r="E542" s="19" t="s">
        <v>137</v>
      </c>
      <c r="F542" s="19" t="s">
        <v>190</v>
      </c>
      <c r="G542" s="21">
        <f>16277.4+680+185.6+112.7</f>
        <v>17255.7</v>
      </c>
      <c r="H542" s="21"/>
      <c r="K542" s="21">
        <f>16277.4+680+185.6+112.7</f>
        <v>17255.7</v>
      </c>
      <c r="L542" s="21"/>
      <c r="M542" s="86"/>
    </row>
    <row r="543" spans="1:13" s="11" customFormat="1" ht="15.75">
      <c r="A543" s="18"/>
      <c r="B543" s="18" t="s">
        <v>159</v>
      </c>
      <c r="C543" s="19" t="s">
        <v>281</v>
      </c>
      <c r="D543" s="19" t="s">
        <v>129</v>
      </c>
      <c r="E543" s="19" t="s">
        <v>137</v>
      </c>
      <c r="F543" s="19" t="s">
        <v>158</v>
      </c>
      <c r="G543" s="21">
        <f>G544</f>
        <v>1922.1</v>
      </c>
      <c r="H543" s="21"/>
      <c r="K543" s="21">
        <f>K544</f>
        <v>1922.1</v>
      </c>
      <c r="L543" s="21"/>
      <c r="M543" s="86"/>
    </row>
    <row r="544" spans="1:13" s="11" customFormat="1" ht="31.5">
      <c r="A544" s="18"/>
      <c r="B544" s="18" t="s">
        <v>165</v>
      </c>
      <c r="C544" s="19" t="s">
        <v>281</v>
      </c>
      <c r="D544" s="19" t="s">
        <v>129</v>
      </c>
      <c r="E544" s="19" t="s">
        <v>137</v>
      </c>
      <c r="F544" s="19" t="s">
        <v>164</v>
      </c>
      <c r="G544" s="21">
        <f>2267.5-332-13.4</f>
        <v>1922.1</v>
      </c>
      <c r="H544" s="21"/>
      <c r="K544" s="21">
        <f>2267.5-332-13.4</f>
        <v>1922.1</v>
      </c>
      <c r="L544" s="21"/>
      <c r="M544" s="86"/>
    </row>
    <row r="545" spans="1:13" s="11" customFormat="1" ht="15.75">
      <c r="A545" s="18"/>
      <c r="B545" s="18" t="s">
        <v>184</v>
      </c>
      <c r="C545" s="19" t="s">
        <v>281</v>
      </c>
      <c r="D545" s="19" t="s">
        <v>129</v>
      </c>
      <c r="E545" s="19" t="s">
        <v>137</v>
      </c>
      <c r="F545" s="19" t="s">
        <v>185</v>
      </c>
      <c r="G545" s="21">
        <f>G546</f>
        <v>20</v>
      </c>
      <c r="H545" s="21"/>
      <c r="K545" s="21">
        <f>K546</f>
        <v>20</v>
      </c>
      <c r="L545" s="21"/>
      <c r="M545" s="86"/>
    </row>
    <row r="546" spans="1:13" s="11" customFormat="1" ht="15.75">
      <c r="A546" s="18"/>
      <c r="B546" s="18" t="s">
        <v>186</v>
      </c>
      <c r="C546" s="19" t="s">
        <v>281</v>
      </c>
      <c r="D546" s="19" t="s">
        <v>129</v>
      </c>
      <c r="E546" s="19" t="s">
        <v>137</v>
      </c>
      <c r="F546" s="19" t="s">
        <v>187</v>
      </c>
      <c r="G546" s="21">
        <f>20</f>
        <v>20</v>
      </c>
      <c r="H546" s="21"/>
      <c r="K546" s="21">
        <f>20</f>
        <v>20</v>
      </c>
      <c r="L546" s="21"/>
      <c r="M546" s="86"/>
    </row>
    <row r="547" spans="1:13" s="11" customFormat="1" ht="31.5">
      <c r="A547" s="18"/>
      <c r="B547" s="18" t="s">
        <v>93</v>
      </c>
      <c r="C547" s="19" t="s">
        <v>91</v>
      </c>
      <c r="D547" s="19" t="s">
        <v>129</v>
      </c>
      <c r="E547" s="19" t="s">
        <v>137</v>
      </c>
      <c r="F547" s="19"/>
      <c r="G547" s="21">
        <f>G548</f>
        <v>505</v>
      </c>
      <c r="H547" s="21"/>
      <c r="K547" s="21">
        <f>K548</f>
        <v>505</v>
      </c>
      <c r="L547" s="21"/>
      <c r="M547" s="86"/>
    </row>
    <row r="548" spans="1:13" s="11" customFormat="1" ht="15.75">
      <c r="A548" s="18"/>
      <c r="B548" s="18" t="s">
        <v>159</v>
      </c>
      <c r="C548" s="19" t="s">
        <v>91</v>
      </c>
      <c r="D548" s="19" t="s">
        <v>129</v>
      </c>
      <c r="E548" s="19" t="s">
        <v>137</v>
      </c>
      <c r="F548" s="19" t="s">
        <v>158</v>
      </c>
      <c r="G548" s="21">
        <f>G549</f>
        <v>505</v>
      </c>
      <c r="H548" s="21"/>
      <c r="K548" s="21">
        <f>K549</f>
        <v>505</v>
      </c>
      <c r="L548" s="21"/>
      <c r="M548" s="86"/>
    </row>
    <row r="549" spans="1:13" s="11" customFormat="1" ht="31.5">
      <c r="A549" s="18"/>
      <c r="B549" s="18" t="s">
        <v>165</v>
      </c>
      <c r="C549" s="19" t="s">
        <v>91</v>
      </c>
      <c r="D549" s="19" t="s">
        <v>129</v>
      </c>
      <c r="E549" s="19" t="s">
        <v>137</v>
      </c>
      <c r="F549" s="19" t="s">
        <v>164</v>
      </c>
      <c r="G549" s="21">
        <f>500+252-247</f>
        <v>505</v>
      </c>
      <c r="H549" s="21"/>
      <c r="K549" s="21">
        <f>500+252-247</f>
        <v>505</v>
      </c>
      <c r="L549" s="21"/>
      <c r="M549" s="86"/>
    </row>
    <row r="550" spans="1:13" s="11" customFormat="1" ht="31.5">
      <c r="A550" s="18"/>
      <c r="B550" s="18" t="s">
        <v>425</v>
      </c>
      <c r="C550" s="19" t="s">
        <v>282</v>
      </c>
      <c r="D550" s="19" t="s">
        <v>129</v>
      </c>
      <c r="E550" s="19" t="s">
        <v>137</v>
      </c>
      <c r="F550" s="19"/>
      <c r="G550" s="21">
        <f>G551</f>
        <v>1000</v>
      </c>
      <c r="H550" s="21"/>
      <c r="K550" s="21">
        <f>K551</f>
        <v>1000</v>
      </c>
      <c r="L550" s="21"/>
      <c r="M550" s="86"/>
    </row>
    <row r="551" spans="1:13" s="11" customFormat="1" ht="15.75">
      <c r="A551" s="18"/>
      <c r="B551" s="18" t="s">
        <v>184</v>
      </c>
      <c r="C551" s="19" t="s">
        <v>282</v>
      </c>
      <c r="D551" s="19" t="s">
        <v>129</v>
      </c>
      <c r="E551" s="19" t="s">
        <v>137</v>
      </c>
      <c r="F551" s="19" t="s">
        <v>185</v>
      </c>
      <c r="G551" s="21">
        <f>G552</f>
        <v>1000</v>
      </c>
      <c r="H551" s="18"/>
      <c r="K551" s="21">
        <f>K552</f>
        <v>1000</v>
      </c>
      <c r="L551" s="18"/>
      <c r="M551" s="86"/>
    </row>
    <row r="552" spans="1:13" s="11" customFormat="1" ht="47.25">
      <c r="A552" s="18"/>
      <c r="B552" s="18" t="s">
        <v>20</v>
      </c>
      <c r="C552" s="19" t="s">
        <v>282</v>
      </c>
      <c r="D552" s="19" t="s">
        <v>129</v>
      </c>
      <c r="E552" s="19" t="s">
        <v>137</v>
      </c>
      <c r="F552" s="19" t="s">
        <v>191</v>
      </c>
      <c r="G552" s="21">
        <v>1000</v>
      </c>
      <c r="H552" s="18"/>
      <c r="K552" s="21">
        <v>1000</v>
      </c>
      <c r="L552" s="18"/>
      <c r="M552" s="86"/>
    </row>
    <row r="553" spans="1:13" s="11" customFormat="1" ht="47.25">
      <c r="A553" s="18"/>
      <c r="B553" s="18" t="s">
        <v>49</v>
      </c>
      <c r="C553" s="19" t="s">
        <v>44</v>
      </c>
      <c r="D553" s="19" t="s">
        <v>129</v>
      </c>
      <c r="E553" s="19" t="s">
        <v>137</v>
      </c>
      <c r="F553" s="19"/>
      <c r="G553" s="21">
        <f>G554</f>
        <v>2658.6</v>
      </c>
      <c r="H553" s="18"/>
      <c r="K553" s="21">
        <f>K554</f>
        <v>2648.5</v>
      </c>
      <c r="L553" s="18"/>
      <c r="M553" s="86"/>
    </row>
    <row r="554" spans="1:13" s="11" customFormat="1" ht="15.75">
      <c r="A554" s="18"/>
      <c r="B554" s="18" t="s">
        <v>159</v>
      </c>
      <c r="C554" s="19" t="s">
        <v>44</v>
      </c>
      <c r="D554" s="19" t="s">
        <v>129</v>
      </c>
      <c r="E554" s="19" t="s">
        <v>137</v>
      </c>
      <c r="F554" s="19" t="s">
        <v>158</v>
      </c>
      <c r="G554" s="21">
        <f>G555</f>
        <v>2658.6</v>
      </c>
      <c r="H554" s="18"/>
      <c r="K554" s="21">
        <f>K555</f>
        <v>2648.5</v>
      </c>
      <c r="L554" s="18"/>
      <c r="M554" s="86"/>
    </row>
    <row r="555" spans="1:13" s="11" customFormat="1" ht="31.5">
      <c r="A555" s="18"/>
      <c r="B555" s="18" t="s">
        <v>165</v>
      </c>
      <c r="C555" s="19" t="s">
        <v>44</v>
      </c>
      <c r="D555" s="19" t="s">
        <v>129</v>
      </c>
      <c r="E555" s="19" t="s">
        <v>137</v>
      </c>
      <c r="F555" s="19" t="s">
        <v>164</v>
      </c>
      <c r="G555" s="21">
        <f>3044.5-286.6-99.3</f>
        <v>2658.6</v>
      </c>
      <c r="H555" s="18"/>
      <c r="K555" s="21">
        <v>2648.5</v>
      </c>
      <c r="L555" s="18"/>
      <c r="M555" s="86"/>
    </row>
    <row r="556" spans="1:13" s="11" customFormat="1" ht="31.5">
      <c r="A556" s="18"/>
      <c r="B556" s="18" t="s">
        <v>430</v>
      </c>
      <c r="C556" s="19" t="s">
        <v>431</v>
      </c>
      <c r="D556" s="19" t="s">
        <v>129</v>
      </c>
      <c r="E556" s="19" t="s">
        <v>137</v>
      </c>
      <c r="F556" s="19"/>
      <c r="G556" s="21">
        <f>G557</f>
        <v>1684.3</v>
      </c>
      <c r="H556" s="18"/>
      <c r="K556" s="21">
        <f>K557</f>
        <v>1684.3</v>
      </c>
      <c r="L556" s="18"/>
      <c r="M556" s="86"/>
    </row>
    <row r="557" spans="1:13" s="11" customFormat="1" ht="31.5">
      <c r="A557" s="18"/>
      <c r="B557" s="18" t="s">
        <v>157</v>
      </c>
      <c r="C557" s="19" t="s">
        <v>431</v>
      </c>
      <c r="D557" s="19" t="s">
        <v>129</v>
      </c>
      <c r="E557" s="19" t="s">
        <v>137</v>
      </c>
      <c r="F557" s="19" t="s">
        <v>156</v>
      </c>
      <c r="G557" s="21">
        <f>G558</f>
        <v>1684.3</v>
      </c>
      <c r="H557" s="18"/>
      <c r="K557" s="21">
        <f>K558</f>
        <v>1684.3</v>
      </c>
      <c r="L557" s="18"/>
      <c r="M557" s="86"/>
    </row>
    <row r="558" spans="1:13" s="11" customFormat="1" ht="31.5">
      <c r="A558" s="18"/>
      <c r="B558" s="18" t="s">
        <v>194</v>
      </c>
      <c r="C558" s="19" t="s">
        <v>431</v>
      </c>
      <c r="D558" s="19" t="s">
        <v>129</v>
      </c>
      <c r="E558" s="19" t="s">
        <v>137</v>
      </c>
      <c r="F558" s="19" t="s">
        <v>195</v>
      </c>
      <c r="G558" s="21">
        <f>1499.7+184.6</f>
        <v>1684.3</v>
      </c>
      <c r="H558" s="18"/>
      <c r="K558" s="21">
        <f>1499.7+184.6</f>
        <v>1684.3</v>
      </c>
      <c r="L558" s="18"/>
      <c r="M558" s="86"/>
    </row>
    <row r="559" spans="1:13" s="11" customFormat="1" ht="69" customHeight="1">
      <c r="A559" s="18"/>
      <c r="B559" s="18" t="s">
        <v>454</v>
      </c>
      <c r="C559" s="19" t="s">
        <v>455</v>
      </c>
      <c r="D559" s="19" t="s">
        <v>129</v>
      </c>
      <c r="E559" s="19" t="s">
        <v>137</v>
      </c>
      <c r="F559" s="19"/>
      <c r="G559" s="21">
        <f>G560</f>
        <v>48</v>
      </c>
      <c r="H559" s="18"/>
      <c r="K559" s="21">
        <f>K560</f>
        <v>48</v>
      </c>
      <c r="L559" s="18"/>
      <c r="M559" s="86"/>
    </row>
    <row r="560" spans="1:13" s="11" customFormat="1" ht="31.5">
      <c r="A560" s="18"/>
      <c r="B560" s="18" t="s">
        <v>157</v>
      </c>
      <c r="C560" s="19" t="s">
        <v>455</v>
      </c>
      <c r="D560" s="19" t="s">
        <v>129</v>
      </c>
      <c r="E560" s="19" t="s">
        <v>137</v>
      </c>
      <c r="F560" s="19" t="s">
        <v>156</v>
      </c>
      <c r="G560" s="21">
        <f>G561</f>
        <v>48</v>
      </c>
      <c r="H560" s="18"/>
      <c r="K560" s="21">
        <f>K561</f>
        <v>48</v>
      </c>
      <c r="L560" s="18"/>
      <c r="M560" s="86"/>
    </row>
    <row r="561" spans="1:13" s="11" customFormat="1" ht="31.5">
      <c r="A561" s="18"/>
      <c r="B561" s="18" t="s">
        <v>194</v>
      </c>
      <c r="C561" s="19" t="s">
        <v>455</v>
      </c>
      <c r="D561" s="19" t="s">
        <v>129</v>
      </c>
      <c r="E561" s="19" t="s">
        <v>137</v>
      </c>
      <c r="F561" s="19" t="s">
        <v>195</v>
      </c>
      <c r="G561" s="21">
        <v>48</v>
      </c>
      <c r="H561" s="18"/>
      <c r="K561" s="21">
        <v>48</v>
      </c>
      <c r="L561" s="18"/>
      <c r="M561" s="86"/>
    </row>
    <row r="562" spans="1:13" s="11" customFormat="1" ht="110.25">
      <c r="A562" s="18"/>
      <c r="B562" s="18" t="s">
        <v>456</v>
      </c>
      <c r="C562" s="19" t="s">
        <v>457</v>
      </c>
      <c r="D562" s="19" t="s">
        <v>129</v>
      </c>
      <c r="E562" s="19" t="s">
        <v>137</v>
      </c>
      <c r="F562" s="19"/>
      <c r="G562" s="21">
        <f>G563</f>
        <v>10000</v>
      </c>
      <c r="H562" s="18"/>
      <c r="K562" s="21">
        <f>K563</f>
        <v>10000</v>
      </c>
      <c r="L562" s="18"/>
      <c r="M562" s="86"/>
    </row>
    <row r="563" spans="1:13" s="11" customFormat="1" ht="15.75">
      <c r="A563" s="18"/>
      <c r="B563" s="18" t="s">
        <v>184</v>
      </c>
      <c r="C563" s="19" t="s">
        <v>457</v>
      </c>
      <c r="D563" s="19" t="s">
        <v>129</v>
      </c>
      <c r="E563" s="19" t="s">
        <v>137</v>
      </c>
      <c r="F563" s="19" t="s">
        <v>185</v>
      </c>
      <c r="G563" s="21">
        <f>G564</f>
        <v>10000</v>
      </c>
      <c r="H563" s="18"/>
      <c r="K563" s="21">
        <f>K564</f>
        <v>10000</v>
      </c>
      <c r="L563" s="18"/>
      <c r="M563" s="86"/>
    </row>
    <row r="564" spans="1:13" s="11" customFormat="1" ht="47.25">
      <c r="A564" s="18"/>
      <c r="B564" s="18" t="s">
        <v>20</v>
      </c>
      <c r="C564" s="19" t="s">
        <v>457</v>
      </c>
      <c r="D564" s="19" t="s">
        <v>129</v>
      </c>
      <c r="E564" s="19" t="s">
        <v>137</v>
      </c>
      <c r="F564" s="19" t="s">
        <v>191</v>
      </c>
      <c r="G564" s="21">
        <f>5000+5000</f>
        <v>10000</v>
      </c>
      <c r="H564" s="18"/>
      <c r="K564" s="21">
        <f>5000+5000</f>
        <v>10000</v>
      </c>
      <c r="L564" s="18"/>
      <c r="M564" s="86"/>
    </row>
    <row r="565" spans="1:13" s="11" customFormat="1" ht="15.75">
      <c r="A565" s="18"/>
      <c r="B565" s="18" t="s">
        <v>153</v>
      </c>
      <c r="C565" s="19" t="s">
        <v>76</v>
      </c>
      <c r="D565" s="19" t="s">
        <v>131</v>
      </c>
      <c r="E565" s="19" t="s">
        <v>139</v>
      </c>
      <c r="F565" s="19"/>
      <c r="G565" s="21">
        <f>G566</f>
        <v>1048</v>
      </c>
      <c r="H565" s="18"/>
      <c r="K565" s="21">
        <f>K566</f>
        <v>1048</v>
      </c>
      <c r="L565" s="18"/>
      <c r="M565" s="86"/>
    </row>
    <row r="566" spans="1:13" s="11" customFormat="1" ht="15.75">
      <c r="A566" s="18"/>
      <c r="B566" s="18" t="s">
        <v>458</v>
      </c>
      <c r="C566" s="19" t="s">
        <v>76</v>
      </c>
      <c r="D566" s="19" t="s">
        <v>131</v>
      </c>
      <c r="E566" s="19" t="s">
        <v>127</v>
      </c>
      <c r="F566" s="19"/>
      <c r="G566" s="21">
        <f>G567</f>
        <v>1048</v>
      </c>
      <c r="H566" s="18"/>
      <c r="K566" s="21">
        <f>K567</f>
        <v>1048</v>
      </c>
      <c r="L566" s="18"/>
      <c r="M566" s="86"/>
    </row>
    <row r="567" spans="1:13" s="11" customFormat="1" ht="78.75">
      <c r="A567" s="18"/>
      <c r="B567" s="18" t="s">
        <v>452</v>
      </c>
      <c r="C567" s="19" t="s">
        <v>453</v>
      </c>
      <c r="D567" s="19" t="s">
        <v>131</v>
      </c>
      <c r="E567" s="19" t="s">
        <v>127</v>
      </c>
      <c r="F567" s="19"/>
      <c r="G567" s="21">
        <f>G568</f>
        <v>1048</v>
      </c>
      <c r="H567" s="18"/>
      <c r="K567" s="21">
        <f>K568</f>
        <v>1048</v>
      </c>
      <c r="L567" s="18"/>
      <c r="M567" s="86"/>
    </row>
    <row r="568" spans="1:13" s="11" customFormat="1" ht="15.75">
      <c r="A568" s="18"/>
      <c r="B568" s="18" t="s">
        <v>159</v>
      </c>
      <c r="C568" s="19" t="s">
        <v>453</v>
      </c>
      <c r="D568" s="19" t="s">
        <v>131</v>
      </c>
      <c r="E568" s="19" t="s">
        <v>127</v>
      </c>
      <c r="F568" s="19">
        <v>200</v>
      </c>
      <c r="G568" s="21">
        <f>G569</f>
        <v>1048</v>
      </c>
      <c r="H568" s="18"/>
      <c r="K568" s="21">
        <f>K569</f>
        <v>1048</v>
      </c>
      <c r="L568" s="18"/>
      <c r="M568" s="86"/>
    </row>
    <row r="569" spans="1:13" s="11" customFormat="1" ht="31.5">
      <c r="A569" s="18"/>
      <c r="B569" s="18" t="s">
        <v>165</v>
      </c>
      <c r="C569" s="19" t="s">
        <v>453</v>
      </c>
      <c r="D569" s="19" t="s">
        <v>131</v>
      </c>
      <c r="E569" s="19" t="s">
        <v>127</v>
      </c>
      <c r="F569" s="19">
        <v>240</v>
      </c>
      <c r="G569" s="21">
        <f>48+1000</f>
        <v>1048</v>
      </c>
      <c r="H569" s="18"/>
      <c r="K569" s="21">
        <f>48+1000</f>
        <v>1048</v>
      </c>
      <c r="L569" s="18"/>
      <c r="M569" s="86"/>
    </row>
    <row r="570" spans="1:13" ht="31.5">
      <c r="A570" s="15">
        <v>12</v>
      </c>
      <c r="B570" s="32" t="s">
        <v>340</v>
      </c>
      <c r="C570" s="41" t="s">
        <v>67</v>
      </c>
      <c r="D570" s="20"/>
      <c r="E570" s="20"/>
      <c r="F570" s="19"/>
      <c r="G570" s="40">
        <f>G571+G574+G584+G592</f>
        <v>554636.5</v>
      </c>
      <c r="H570" s="40">
        <f>H571+H574+H584+H592</f>
        <v>29785</v>
      </c>
      <c r="K570" s="40">
        <f>K571+K574+K584+K592</f>
        <v>537162.4</v>
      </c>
      <c r="L570" s="40">
        <f>L571+L574+L584+L592</f>
        <v>29528.7</v>
      </c>
      <c r="M570" s="31">
        <f>K570/G570*100</f>
        <v>96.84945004520979</v>
      </c>
    </row>
    <row r="571" spans="1:13" ht="15.75">
      <c r="A571" s="36"/>
      <c r="B571" s="45" t="s">
        <v>228</v>
      </c>
      <c r="C571" s="48" t="s">
        <v>283</v>
      </c>
      <c r="D571" s="39" t="s">
        <v>221</v>
      </c>
      <c r="E571" s="39" t="s">
        <v>126</v>
      </c>
      <c r="F571" s="45"/>
      <c r="G571" s="47">
        <f>G572</f>
        <v>15917.099999999999</v>
      </c>
      <c r="H571" s="23"/>
      <c r="K571" s="47">
        <f>K572</f>
        <v>7387.9</v>
      </c>
      <c r="L571" s="23"/>
      <c r="M571" s="83"/>
    </row>
    <row r="572" spans="1:13" ht="15.75">
      <c r="A572" s="36"/>
      <c r="B572" s="24" t="s">
        <v>229</v>
      </c>
      <c r="C572" s="25" t="s">
        <v>284</v>
      </c>
      <c r="D572" s="22" t="s">
        <v>221</v>
      </c>
      <c r="E572" s="22" t="s">
        <v>126</v>
      </c>
      <c r="F572" s="24" t="s">
        <v>230</v>
      </c>
      <c r="G572" s="21">
        <f>G573</f>
        <v>15917.099999999999</v>
      </c>
      <c r="H572" s="23"/>
      <c r="K572" s="21">
        <f>K573</f>
        <v>7387.9</v>
      </c>
      <c r="L572" s="23"/>
      <c r="M572" s="83"/>
    </row>
    <row r="573" spans="1:13" ht="15.75">
      <c r="A573" s="36"/>
      <c r="B573" s="24" t="s">
        <v>229</v>
      </c>
      <c r="C573" s="25" t="s">
        <v>284</v>
      </c>
      <c r="D573" s="22" t="s">
        <v>221</v>
      </c>
      <c r="E573" s="22" t="s">
        <v>126</v>
      </c>
      <c r="F573" s="24" t="s">
        <v>231</v>
      </c>
      <c r="G573" s="21">
        <f>40910-20000-533.8-3528.9-196.9-440-293.3</f>
        <v>15917.099999999999</v>
      </c>
      <c r="H573" s="23"/>
      <c r="K573" s="21">
        <v>7387.9</v>
      </c>
      <c r="L573" s="23"/>
      <c r="M573" s="83"/>
    </row>
    <row r="574" spans="1:13" ht="47.25">
      <c r="A574" s="36"/>
      <c r="B574" s="43" t="s">
        <v>19</v>
      </c>
      <c r="C574" s="43" t="s">
        <v>77</v>
      </c>
      <c r="D574" s="39" t="s">
        <v>126</v>
      </c>
      <c r="E574" s="39" t="s">
        <v>221</v>
      </c>
      <c r="F574" s="43"/>
      <c r="G574" s="47">
        <f>G581+G579+G575</f>
        <v>7886</v>
      </c>
      <c r="H574" s="51">
        <f>H581</f>
        <v>6201</v>
      </c>
      <c r="K574" s="47">
        <f>K581+K579+K575</f>
        <v>7798.9</v>
      </c>
      <c r="L574" s="51">
        <f>L581</f>
        <v>6201</v>
      </c>
      <c r="M574" s="83"/>
    </row>
    <row r="575" spans="1:13" ht="15.75">
      <c r="A575" s="36"/>
      <c r="B575" s="19" t="s">
        <v>180</v>
      </c>
      <c r="C575" s="19" t="s">
        <v>95</v>
      </c>
      <c r="D575" s="39" t="s">
        <v>126</v>
      </c>
      <c r="E575" s="39" t="s">
        <v>221</v>
      </c>
      <c r="F575" s="19"/>
      <c r="G575" s="21">
        <f>G576</f>
        <v>698</v>
      </c>
      <c r="H575" s="30"/>
      <c r="K575" s="21">
        <f>K576</f>
        <v>625.5</v>
      </c>
      <c r="L575" s="30"/>
      <c r="M575" s="83"/>
    </row>
    <row r="576" spans="1:13" ht="15.75">
      <c r="A576" s="36"/>
      <c r="B576" s="19" t="s">
        <v>181</v>
      </c>
      <c r="C576" s="19" t="s">
        <v>96</v>
      </c>
      <c r="D576" s="39" t="s">
        <v>126</v>
      </c>
      <c r="E576" s="39" t="s">
        <v>221</v>
      </c>
      <c r="F576" s="19"/>
      <c r="G576" s="21">
        <f>G577</f>
        <v>698</v>
      </c>
      <c r="H576" s="30"/>
      <c r="K576" s="21">
        <f>K577</f>
        <v>625.5</v>
      </c>
      <c r="L576" s="30"/>
      <c r="M576" s="83"/>
    </row>
    <row r="577" spans="1:13" ht="63">
      <c r="A577" s="36"/>
      <c r="B577" s="19" t="s">
        <v>170</v>
      </c>
      <c r="C577" s="19" t="s">
        <v>96</v>
      </c>
      <c r="D577" s="39" t="s">
        <v>126</v>
      </c>
      <c r="E577" s="39" t="s">
        <v>221</v>
      </c>
      <c r="F577" s="19">
        <v>100</v>
      </c>
      <c r="G577" s="21">
        <f>G578</f>
        <v>698</v>
      </c>
      <c r="H577" s="30"/>
      <c r="K577" s="21">
        <f>K578</f>
        <v>625.5</v>
      </c>
      <c r="L577" s="30"/>
      <c r="M577" s="83"/>
    </row>
    <row r="578" spans="1:13" ht="15.75">
      <c r="A578" s="36"/>
      <c r="B578" s="19" t="s">
        <v>171</v>
      </c>
      <c r="C578" s="19" t="s">
        <v>96</v>
      </c>
      <c r="D578" s="39" t="s">
        <v>126</v>
      </c>
      <c r="E578" s="39" t="s">
        <v>221</v>
      </c>
      <c r="F578" s="19">
        <v>120</v>
      </c>
      <c r="G578" s="21">
        <f>603.9+118+22.1-39-7</f>
        <v>698</v>
      </c>
      <c r="H578" s="30"/>
      <c r="K578" s="21">
        <v>625.5</v>
      </c>
      <c r="L578" s="30"/>
      <c r="M578" s="83"/>
    </row>
    <row r="579" spans="1:13" ht="15.75">
      <c r="A579" s="36"/>
      <c r="B579" s="19" t="s">
        <v>159</v>
      </c>
      <c r="C579" s="19" t="s">
        <v>94</v>
      </c>
      <c r="D579" s="39" t="s">
        <v>126</v>
      </c>
      <c r="E579" s="39" t="s">
        <v>221</v>
      </c>
      <c r="F579" s="19" t="s">
        <v>158</v>
      </c>
      <c r="G579" s="21">
        <f>G580</f>
        <v>987</v>
      </c>
      <c r="H579" s="30"/>
      <c r="K579" s="21">
        <f>K580</f>
        <v>972.4</v>
      </c>
      <c r="L579" s="30"/>
      <c r="M579" s="83"/>
    </row>
    <row r="580" spans="1:13" ht="31.5">
      <c r="A580" s="36"/>
      <c r="B580" s="19" t="s">
        <v>165</v>
      </c>
      <c r="C580" s="19" t="s">
        <v>94</v>
      </c>
      <c r="D580" s="39" t="s">
        <v>126</v>
      </c>
      <c r="E580" s="39" t="s">
        <v>221</v>
      </c>
      <c r="F580" s="19" t="s">
        <v>164</v>
      </c>
      <c r="G580" s="21">
        <f>987</f>
        <v>987</v>
      </c>
      <c r="H580" s="30"/>
      <c r="K580" s="21">
        <v>972.4</v>
      </c>
      <c r="L580" s="30"/>
      <c r="M580" s="83"/>
    </row>
    <row r="581" spans="1:13" ht="94.5">
      <c r="A581" s="36"/>
      <c r="B581" s="19" t="s">
        <v>6</v>
      </c>
      <c r="C581" s="19" t="s">
        <v>354</v>
      </c>
      <c r="D581" s="22" t="s">
        <v>126</v>
      </c>
      <c r="E581" s="22" t="s">
        <v>221</v>
      </c>
      <c r="F581" s="19"/>
      <c r="G581" s="21">
        <f>G582</f>
        <v>6201</v>
      </c>
      <c r="H581" s="21">
        <f>H582</f>
        <v>6201</v>
      </c>
      <c r="K581" s="21">
        <f>K582</f>
        <v>6201</v>
      </c>
      <c r="L581" s="21">
        <f>L582</f>
        <v>6201</v>
      </c>
      <c r="M581" s="83"/>
    </row>
    <row r="582" spans="1:13" ht="66" customHeight="1">
      <c r="A582" s="36"/>
      <c r="B582" s="18" t="s">
        <v>170</v>
      </c>
      <c r="C582" s="19" t="s">
        <v>354</v>
      </c>
      <c r="D582" s="22" t="s">
        <v>126</v>
      </c>
      <c r="E582" s="22" t="s">
        <v>221</v>
      </c>
      <c r="F582" s="19" t="s">
        <v>168</v>
      </c>
      <c r="G582" s="21">
        <f>G583</f>
        <v>6201</v>
      </c>
      <c r="H582" s="30">
        <f>H583</f>
        <v>6201</v>
      </c>
      <c r="K582" s="21">
        <f>K583</f>
        <v>6201</v>
      </c>
      <c r="L582" s="30">
        <f>L583</f>
        <v>6201</v>
      </c>
      <c r="M582" s="83"/>
    </row>
    <row r="583" spans="1:13" ht="15.75">
      <c r="A583" s="36"/>
      <c r="B583" s="18" t="s">
        <v>171</v>
      </c>
      <c r="C583" s="19" t="s">
        <v>354</v>
      </c>
      <c r="D583" s="22" t="s">
        <v>126</v>
      </c>
      <c r="E583" s="22" t="s">
        <v>221</v>
      </c>
      <c r="F583" s="19" t="s">
        <v>169</v>
      </c>
      <c r="G583" s="21">
        <f>5713+488</f>
        <v>6201</v>
      </c>
      <c r="H583" s="30">
        <f>G583</f>
        <v>6201</v>
      </c>
      <c r="K583" s="21">
        <f>5713+488</f>
        <v>6201</v>
      </c>
      <c r="L583" s="30">
        <f>K583</f>
        <v>6201</v>
      </c>
      <c r="M583" s="83"/>
    </row>
    <row r="584" spans="1:13" ht="47.25">
      <c r="A584" s="36"/>
      <c r="B584" s="43" t="s">
        <v>31</v>
      </c>
      <c r="C584" s="48" t="s">
        <v>285</v>
      </c>
      <c r="D584" s="39" t="s">
        <v>126</v>
      </c>
      <c r="E584" s="39" t="s">
        <v>129</v>
      </c>
      <c r="F584" s="45"/>
      <c r="G584" s="47">
        <f>G585+G587+G589</f>
        <v>16692.8</v>
      </c>
      <c r="H584" s="30"/>
      <c r="K584" s="47">
        <f>K585+K587+K589</f>
        <v>15458.099999999999</v>
      </c>
      <c r="L584" s="30"/>
      <c r="M584" s="83"/>
    </row>
    <row r="585" spans="1:13" ht="15.75">
      <c r="A585" s="36"/>
      <c r="B585" s="18" t="s">
        <v>159</v>
      </c>
      <c r="C585" s="25" t="s">
        <v>286</v>
      </c>
      <c r="D585" s="22" t="s">
        <v>126</v>
      </c>
      <c r="E585" s="22" t="s">
        <v>129</v>
      </c>
      <c r="F585" s="24" t="s">
        <v>158</v>
      </c>
      <c r="G585" s="21">
        <f>G586</f>
        <v>525</v>
      </c>
      <c r="H585" s="30"/>
      <c r="K585" s="21">
        <f>K586</f>
        <v>377.9</v>
      </c>
      <c r="L585" s="30"/>
      <c r="M585" s="83"/>
    </row>
    <row r="586" spans="1:13" ht="31.5">
      <c r="A586" s="36"/>
      <c r="B586" s="18" t="s">
        <v>165</v>
      </c>
      <c r="C586" s="25" t="s">
        <v>286</v>
      </c>
      <c r="D586" s="22" t="s">
        <v>126</v>
      </c>
      <c r="E586" s="22" t="s">
        <v>129</v>
      </c>
      <c r="F586" s="24" t="s">
        <v>164</v>
      </c>
      <c r="G586" s="21">
        <f>525</f>
        <v>525</v>
      </c>
      <c r="H586" s="30"/>
      <c r="K586" s="21">
        <v>377.9</v>
      </c>
      <c r="L586" s="30"/>
      <c r="M586" s="83"/>
    </row>
    <row r="587" spans="1:13" ht="15.75">
      <c r="A587" s="36"/>
      <c r="B587" s="18" t="s">
        <v>159</v>
      </c>
      <c r="C587" s="25" t="s">
        <v>286</v>
      </c>
      <c r="D587" s="22" t="s">
        <v>126</v>
      </c>
      <c r="E587" s="22" t="s">
        <v>136</v>
      </c>
      <c r="F587" s="24" t="s">
        <v>158</v>
      </c>
      <c r="G587" s="21">
        <f>G588</f>
        <v>208.7</v>
      </c>
      <c r="H587" s="30"/>
      <c r="K587" s="21">
        <f>K588</f>
        <v>162.4</v>
      </c>
      <c r="L587" s="30"/>
      <c r="M587" s="83"/>
    </row>
    <row r="588" spans="1:13" ht="31.5">
      <c r="A588" s="36"/>
      <c r="B588" s="18" t="s">
        <v>165</v>
      </c>
      <c r="C588" s="25" t="s">
        <v>286</v>
      </c>
      <c r="D588" s="22" t="s">
        <v>126</v>
      </c>
      <c r="E588" s="22" t="s">
        <v>136</v>
      </c>
      <c r="F588" s="24" t="s">
        <v>164</v>
      </c>
      <c r="G588" s="21">
        <f>160+60-11.3</f>
        <v>208.7</v>
      </c>
      <c r="H588" s="30"/>
      <c r="K588" s="21">
        <v>162.4</v>
      </c>
      <c r="L588" s="30"/>
      <c r="M588" s="83"/>
    </row>
    <row r="589" spans="1:13" ht="15.75">
      <c r="A589" s="36"/>
      <c r="B589" s="18" t="s">
        <v>418</v>
      </c>
      <c r="C589" s="25" t="s">
        <v>286</v>
      </c>
      <c r="D589" s="22" t="s">
        <v>134</v>
      </c>
      <c r="E589" s="22" t="s">
        <v>126</v>
      </c>
      <c r="F589" s="24"/>
      <c r="G589" s="21">
        <f>G590</f>
        <v>15959.1</v>
      </c>
      <c r="H589" s="30"/>
      <c r="K589" s="21">
        <f>K590</f>
        <v>14917.8</v>
      </c>
      <c r="L589" s="30"/>
      <c r="M589" s="83"/>
    </row>
    <row r="590" spans="1:13" ht="15.75">
      <c r="A590" s="36"/>
      <c r="B590" s="24" t="s">
        <v>162</v>
      </c>
      <c r="C590" s="25" t="s">
        <v>286</v>
      </c>
      <c r="D590" s="22" t="s">
        <v>134</v>
      </c>
      <c r="E590" s="22" t="s">
        <v>126</v>
      </c>
      <c r="F590" s="24" t="s">
        <v>160</v>
      </c>
      <c r="G590" s="21">
        <f>G591</f>
        <v>15959.1</v>
      </c>
      <c r="H590" s="30"/>
      <c r="K590" s="21">
        <f>K591</f>
        <v>14917.8</v>
      </c>
      <c r="L590" s="30"/>
      <c r="M590" s="83"/>
    </row>
    <row r="591" spans="1:13" ht="15.75">
      <c r="A591" s="36"/>
      <c r="B591" s="24" t="s">
        <v>232</v>
      </c>
      <c r="C591" s="25" t="s">
        <v>286</v>
      </c>
      <c r="D591" s="22" t="s">
        <v>134</v>
      </c>
      <c r="E591" s="22" t="s">
        <v>126</v>
      </c>
      <c r="F591" s="24" t="s">
        <v>87</v>
      </c>
      <c r="G591" s="21">
        <f>16000-40.9</f>
        <v>15959.1</v>
      </c>
      <c r="H591" s="30"/>
      <c r="K591" s="21">
        <v>14917.8</v>
      </c>
      <c r="L591" s="30"/>
      <c r="M591" s="83"/>
    </row>
    <row r="592" spans="1:13" ht="15.75">
      <c r="A592" s="36"/>
      <c r="B592" s="43" t="s">
        <v>239</v>
      </c>
      <c r="C592" s="48" t="s">
        <v>287</v>
      </c>
      <c r="D592" s="39"/>
      <c r="E592" s="39"/>
      <c r="F592" s="43"/>
      <c r="G592" s="47">
        <f>G593+G596+G652+G777+G847+G611</f>
        <v>514140.60000000003</v>
      </c>
      <c r="H592" s="47">
        <f>H593+H596+H652+H777+H847</f>
        <v>23584</v>
      </c>
      <c r="K592" s="47">
        <f>K593+K596+K652+K777+K847+K611</f>
        <v>506517.50000000006</v>
      </c>
      <c r="L592" s="47">
        <f>L593+L596+L652+L777+L847</f>
        <v>23327.7</v>
      </c>
      <c r="M592" s="83"/>
    </row>
    <row r="593" spans="1:13" ht="15.75">
      <c r="A593" s="36"/>
      <c r="B593" s="18" t="s">
        <v>238</v>
      </c>
      <c r="C593" s="25" t="s">
        <v>288</v>
      </c>
      <c r="D593" s="22" t="s">
        <v>126</v>
      </c>
      <c r="E593" s="22" t="s">
        <v>150</v>
      </c>
      <c r="F593" s="55"/>
      <c r="G593" s="21">
        <f>G594</f>
        <v>4556.2</v>
      </c>
      <c r="H593" s="30"/>
      <c r="K593" s="21">
        <f>K594</f>
        <v>4522</v>
      </c>
      <c r="L593" s="30"/>
      <c r="M593" s="83"/>
    </row>
    <row r="594" spans="1:13" ht="63">
      <c r="A594" s="36"/>
      <c r="B594" s="18" t="s">
        <v>170</v>
      </c>
      <c r="C594" s="25" t="s">
        <v>288</v>
      </c>
      <c r="D594" s="22" t="s">
        <v>126</v>
      </c>
      <c r="E594" s="22" t="s">
        <v>150</v>
      </c>
      <c r="F594" s="24" t="s">
        <v>168</v>
      </c>
      <c r="G594" s="21">
        <f>G595</f>
        <v>4556.2</v>
      </c>
      <c r="H594" s="30"/>
      <c r="K594" s="21">
        <f>K595</f>
        <v>4522</v>
      </c>
      <c r="L594" s="30"/>
      <c r="M594" s="83"/>
    </row>
    <row r="595" spans="1:13" ht="15.75">
      <c r="A595" s="36"/>
      <c r="B595" s="18" t="s">
        <v>171</v>
      </c>
      <c r="C595" s="25" t="s">
        <v>288</v>
      </c>
      <c r="D595" s="22" t="s">
        <v>126</v>
      </c>
      <c r="E595" s="22" t="s">
        <v>150</v>
      </c>
      <c r="F595" s="24" t="s">
        <v>169</v>
      </c>
      <c r="G595" s="21">
        <f>3731+800+310.2+1000-1300+15</f>
        <v>4556.2</v>
      </c>
      <c r="H595" s="30"/>
      <c r="K595" s="21">
        <v>4522</v>
      </c>
      <c r="L595" s="30"/>
      <c r="M595" s="83"/>
    </row>
    <row r="596" spans="1:13" ht="15.75">
      <c r="A596" s="36"/>
      <c r="B596" s="18" t="s">
        <v>180</v>
      </c>
      <c r="C596" s="25" t="s">
        <v>288</v>
      </c>
      <c r="D596" s="22" t="s">
        <v>126</v>
      </c>
      <c r="E596" s="22" t="s">
        <v>129</v>
      </c>
      <c r="F596" s="24"/>
      <c r="G596" s="21">
        <f>G597+G600+G603+G608+G616</f>
        <v>274884.4</v>
      </c>
      <c r="H596" s="30"/>
      <c r="K596" s="21">
        <f>K597+K600+K603+K608+K616</f>
        <v>270018.3</v>
      </c>
      <c r="L596" s="30"/>
      <c r="M596" s="83"/>
    </row>
    <row r="597" spans="1:13" ht="15.75">
      <c r="A597" s="36"/>
      <c r="B597" s="18" t="s">
        <v>181</v>
      </c>
      <c r="C597" s="22" t="s">
        <v>289</v>
      </c>
      <c r="D597" s="22" t="s">
        <v>126</v>
      </c>
      <c r="E597" s="22" t="s">
        <v>129</v>
      </c>
      <c r="F597" s="24"/>
      <c r="G597" s="21">
        <f>G598</f>
        <v>104681.70000000001</v>
      </c>
      <c r="H597" s="30"/>
      <c r="K597" s="21">
        <f>K598</f>
        <v>103658.4</v>
      </c>
      <c r="L597" s="30"/>
      <c r="M597" s="83"/>
    </row>
    <row r="598" spans="1:13" ht="63">
      <c r="A598" s="36"/>
      <c r="B598" s="18" t="s">
        <v>170</v>
      </c>
      <c r="C598" s="22" t="s">
        <v>289</v>
      </c>
      <c r="D598" s="22" t="s">
        <v>126</v>
      </c>
      <c r="E598" s="22" t="s">
        <v>129</v>
      </c>
      <c r="F598" s="22" t="s">
        <v>168</v>
      </c>
      <c r="G598" s="21">
        <f>G599</f>
        <v>104681.70000000001</v>
      </c>
      <c r="H598" s="30"/>
      <c r="K598" s="21">
        <f>K599</f>
        <v>103658.4</v>
      </c>
      <c r="L598" s="30"/>
      <c r="M598" s="83"/>
    </row>
    <row r="599" spans="1:13" ht="15.75">
      <c r="A599" s="36"/>
      <c r="B599" s="18" t="s">
        <v>171</v>
      </c>
      <c r="C599" s="22" t="s">
        <v>289</v>
      </c>
      <c r="D599" s="22" t="s">
        <v>126</v>
      </c>
      <c r="E599" s="22" t="s">
        <v>129</v>
      </c>
      <c r="F599" s="22" t="s">
        <v>169</v>
      </c>
      <c r="G599" s="21">
        <f>95286.8+7794+1235+2680.2+211.8-9.5-1-45.2-20.3-1333-19.8-82.4-115-1071.9-41+46+277-110</f>
        <v>104681.70000000001</v>
      </c>
      <c r="H599" s="30"/>
      <c r="K599" s="21">
        <v>103658.4</v>
      </c>
      <c r="L599" s="30"/>
      <c r="M599" s="83"/>
    </row>
    <row r="600" spans="1:13" ht="15.75">
      <c r="A600" s="36"/>
      <c r="B600" s="18" t="s">
        <v>182</v>
      </c>
      <c r="C600" s="22" t="s">
        <v>290</v>
      </c>
      <c r="D600" s="22" t="s">
        <v>126</v>
      </c>
      <c r="E600" s="22" t="s">
        <v>129</v>
      </c>
      <c r="F600" s="24"/>
      <c r="G600" s="21">
        <f>G601</f>
        <v>139045.00000000003</v>
      </c>
      <c r="H600" s="30"/>
      <c r="K600" s="21">
        <f>K601</f>
        <v>137586.4</v>
      </c>
      <c r="L600" s="30"/>
      <c r="M600" s="83"/>
    </row>
    <row r="601" spans="1:13" ht="63">
      <c r="A601" s="36"/>
      <c r="B601" s="18" t="s">
        <v>170</v>
      </c>
      <c r="C601" s="22" t="s">
        <v>290</v>
      </c>
      <c r="D601" s="22" t="s">
        <v>126</v>
      </c>
      <c r="E601" s="22" t="s">
        <v>129</v>
      </c>
      <c r="F601" s="22" t="s">
        <v>168</v>
      </c>
      <c r="G601" s="21">
        <f>G602</f>
        <v>139045.00000000003</v>
      </c>
      <c r="H601" s="30"/>
      <c r="K601" s="21">
        <f>K602</f>
        <v>137586.4</v>
      </c>
      <c r="L601" s="30"/>
      <c r="M601" s="83"/>
    </row>
    <row r="602" spans="1:13" ht="15.75">
      <c r="A602" s="36"/>
      <c r="B602" s="18" t="s">
        <v>171</v>
      </c>
      <c r="C602" s="22" t="s">
        <v>290</v>
      </c>
      <c r="D602" s="22" t="s">
        <v>126</v>
      </c>
      <c r="E602" s="22" t="s">
        <v>129</v>
      </c>
      <c r="F602" s="22" t="s">
        <v>169</v>
      </c>
      <c r="G602" s="21">
        <f>123289.3+200+6354.8+1086+6088.1+340.6+350+545+41.2+750</f>
        <v>139045.00000000003</v>
      </c>
      <c r="H602" s="30"/>
      <c r="K602" s="21">
        <v>137586.4</v>
      </c>
      <c r="L602" s="30"/>
      <c r="M602" s="83"/>
    </row>
    <row r="603" spans="1:13" ht="31.5">
      <c r="A603" s="36"/>
      <c r="B603" s="18" t="s">
        <v>183</v>
      </c>
      <c r="C603" s="22" t="s">
        <v>291</v>
      </c>
      <c r="D603" s="22" t="s">
        <v>126</v>
      </c>
      <c r="E603" s="22" t="s">
        <v>129</v>
      </c>
      <c r="F603" s="24"/>
      <c r="G603" s="21">
        <f>G604+G606</f>
        <v>30334.6</v>
      </c>
      <c r="H603" s="30"/>
      <c r="K603" s="21">
        <f>K604+K606</f>
        <v>28363</v>
      </c>
      <c r="L603" s="30"/>
      <c r="M603" s="83"/>
    </row>
    <row r="604" spans="1:13" ht="15.75">
      <c r="A604" s="36"/>
      <c r="B604" s="18" t="s">
        <v>159</v>
      </c>
      <c r="C604" s="22" t="s">
        <v>291</v>
      </c>
      <c r="D604" s="22" t="s">
        <v>126</v>
      </c>
      <c r="E604" s="22" t="s">
        <v>129</v>
      </c>
      <c r="F604" s="22" t="s">
        <v>158</v>
      </c>
      <c r="G604" s="21">
        <f>G605</f>
        <v>30181</v>
      </c>
      <c r="H604" s="30"/>
      <c r="K604" s="21">
        <f>K605</f>
        <v>28259.3</v>
      </c>
      <c r="L604" s="30"/>
      <c r="M604" s="83"/>
    </row>
    <row r="605" spans="1:13" ht="31.5">
      <c r="A605" s="36"/>
      <c r="B605" s="18" t="s">
        <v>165</v>
      </c>
      <c r="C605" s="22" t="s">
        <v>291</v>
      </c>
      <c r="D605" s="22" t="s">
        <v>126</v>
      </c>
      <c r="E605" s="22" t="s">
        <v>129</v>
      </c>
      <c r="F605" s="22" t="s">
        <v>164</v>
      </c>
      <c r="G605" s="21">
        <v>30181</v>
      </c>
      <c r="H605" s="30"/>
      <c r="K605" s="21">
        <v>28259.3</v>
      </c>
      <c r="L605" s="30"/>
      <c r="M605" s="83"/>
    </row>
    <row r="606" spans="1:13" ht="15.75">
      <c r="A606" s="36"/>
      <c r="B606" s="18" t="s">
        <v>184</v>
      </c>
      <c r="C606" s="22" t="s">
        <v>291</v>
      </c>
      <c r="D606" s="22" t="s">
        <v>126</v>
      </c>
      <c r="E606" s="22" t="s">
        <v>129</v>
      </c>
      <c r="F606" s="22" t="s">
        <v>185</v>
      </c>
      <c r="G606" s="21">
        <f>G607</f>
        <v>153.6</v>
      </c>
      <c r="H606" s="30"/>
      <c r="K606" s="21">
        <f>K607</f>
        <v>103.7</v>
      </c>
      <c r="L606" s="30"/>
      <c r="M606" s="83"/>
    </row>
    <row r="607" spans="1:13" ht="15.75">
      <c r="A607" s="36"/>
      <c r="B607" s="18" t="s">
        <v>186</v>
      </c>
      <c r="C607" s="22" t="s">
        <v>291</v>
      </c>
      <c r="D607" s="22" t="s">
        <v>126</v>
      </c>
      <c r="E607" s="22" t="s">
        <v>129</v>
      </c>
      <c r="F607" s="22" t="s">
        <v>187</v>
      </c>
      <c r="G607" s="21">
        <f>50+100+10-6.4</f>
        <v>153.6</v>
      </c>
      <c r="H607" s="30"/>
      <c r="K607" s="21">
        <v>103.7</v>
      </c>
      <c r="L607" s="30"/>
      <c r="M607" s="83"/>
    </row>
    <row r="608" spans="1:13" ht="15.75">
      <c r="A608" s="36"/>
      <c r="B608" s="18" t="s">
        <v>384</v>
      </c>
      <c r="C608" s="22" t="s">
        <v>385</v>
      </c>
      <c r="D608" s="22" t="s">
        <v>126</v>
      </c>
      <c r="E608" s="22" t="s">
        <v>129</v>
      </c>
      <c r="F608" s="22"/>
      <c r="G608" s="21">
        <f>G609</f>
        <v>325</v>
      </c>
      <c r="H608" s="30"/>
      <c r="K608" s="21">
        <f>K609</f>
        <v>223.4</v>
      </c>
      <c r="L608" s="30"/>
      <c r="M608" s="83"/>
    </row>
    <row r="609" spans="1:13" ht="15.75">
      <c r="A609" s="36"/>
      <c r="B609" s="18" t="s">
        <v>159</v>
      </c>
      <c r="C609" s="22" t="s">
        <v>385</v>
      </c>
      <c r="D609" s="22" t="s">
        <v>126</v>
      </c>
      <c r="E609" s="22" t="s">
        <v>129</v>
      </c>
      <c r="F609" s="22" t="s">
        <v>158</v>
      </c>
      <c r="G609" s="21">
        <f>G610</f>
        <v>325</v>
      </c>
      <c r="H609" s="30"/>
      <c r="K609" s="21">
        <f>K610</f>
        <v>223.4</v>
      </c>
      <c r="L609" s="30"/>
      <c r="M609" s="83"/>
    </row>
    <row r="610" spans="1:13" ht="33.75" customHeight="1">
      <c r="A610" s="36"/>
      <c r="B610" s="18" t="s">
        <v>165</v>
      </c>
      <c r="C610" s="22" t="s">
        <v>385</v>
      </c>
      <c r="D610" s="22" t="s">
        <v>126</v>
      </c>
      <c r="E610" s="22" t="s">
        <v>129</v>
      </c>
      <c r="F610" s="22" t="s">
        <v>164</v>
      </c>
      <c r="G610" s="21">
        <f>325</f>
        <v>325</v>
      </c>
      <c r="H610" s="30"/>
      <c r="K610" s="21">
        <v>223.4</v>
      </c>
      <c r="L610" s="30"/>
      <c r="M610" s="83"/>
    </row>
    <row r="611" spans="1:13" ht="67.5" customHeight="1">
      <c r="A611" s="36"/>
      <c r="B611" s="18" t="s">
        <v>672</v>
      </c>
      <c r="C611" s="22" t="s">
        <v>673</v>
      </c>
      <c r="D611" s="22" t="s">
        <v>126</v>
      </c>
      <c r="E611" s="22" t="s">
        <v>129</v>
      </c>
      <c r="F611" s="22"/>
      <c r="G611" s="21">
        <f>G614+G612</f>
        <v>804.2</v>
      </c>
      <c r="H611" s="30"/>
      <c r="K611" s="21">
        <f>K614+K612</f>
        <v>0</v>
      </c>
      <c r="L611" s="30"/>
      <c r="M611" s="83"/>
    </row>
    <row r="612" spans="1:13" ht="68.25" customHeight="1">
      <c r="A612" s="36"/>
      <c r="B612" s="18" t="s">
        <v>170</v>
      </c>
      <c r="C612" s="22" t="s">
        <v>673</v>
      </c>
      <c r="D612" s="22" t="s">
        <v>126</v>
      </c>
      <c r="E612" s="22" t="s">
        <v>129</v>
      </c>
      <c r="F612" s="22" t="s">
        <v>168</v>
      </c>
      <c r="G612" s="21">
        <f>G613</f>
        <v>670.1</v>
      </c>
      <c r="H612" s="30"/>
      <c r="K612" s="21">
        <f>K613</f>
        <v>0</v>
      </c>
      <c r="L612" s="30"/>
      <c r="M612" s="83"/>
    </row>
    <row r="613" spans="1:13" ht="33.75" customHeight="1">
      <c r="A613" s="36"/>
      <c r="B613" s="18" t="s">
        <v>171</v>
      </c>
      <c r="C613" s="22" t="s">
        <v>673</v>
      </c>
      <c r="D613" s="22" t="s">
        <v>126</v>
      </c>
      <c r="E613" s="22" t="s">
        <v>129</v>
      </c>
      <c r="F613" s="22" t="s">
        <v>169</v>
      </c>
      <c r="G613" s="21">
        <f>670.1</f>
        <v>670.1</v>
      </c>
      <c r="H613" s="30"/>
      <c r="K613" s="21">
        <v>0</v>
      </c>
      <c r="L613" s="30"/>
      <c r="M613" s="83"/>
    </row>
    <row r="614" spans="1:13" ht="33.75" customHeight="1">
      <c r="A614" s="36"/>
      <c r="B614" s="18" t="s">
        <v>159</v>
      </c>
      <c r="C614" s="22" t="s">
        <v>673</v>
      </c>
      <c r="D614" s="22" t="s">
        <v>126</v>
      </c>
      <c r="E614" s="22" t="s">
        <v>129</v>
      </c>
      <c r="F614" s="22" t="s">
        <v>158</v>
      </c>
      <c r="G614" s="21">
        <f>G615</f>
        <v>134.1</v>
      </c>
      <c r="H614" s="30"/>
      <c r="K614" s="21">
        <f>K615</f>
        <v>0</v>
      </c>
      <c r="L614" s="30"/>
      <c r="M614" s="83"/>
    </row>
    <row r="615" spans="1:13" ht="33.75" customHeight="1">
      <c r="A615" s="36"/>
      <c r="B615" s="18" t="s">
        <v>165</v>
      </c>
      <c r="C615" s="22" t="s">
        <v>673</v>
      </c>
      <c r="D615" s="22" t="s">
        <v>126</v>
      </c>
      <c r="E615" s="22" t="s">
        <v>129</v>
      </c>
      <c r="F615" s="22" t="s">
        <v>164</v>
      </c>
      <c r="G615" s="21">
        <f>134.1</f>
        <v>134.1</v>
      </c>
      <c r="H615" s="30"/>
      <c r="K615" s="21">
        <v>0</v>
      </c>
      <c r="L615" s="30"/>
      <c r="M615" s="83"/>
    </row>
    <row r="616" spans="1:13" ht="69" customHeight="1">
      <c r="A616" s="36"/>
      <c r="B616" s="18" t="s">
        <v>517</v>
      </c>
      <c r="C616" s="22" t="s">
        <v>460</v>
      </c>
      <c r="D616" s="22" t="s">
        <v>126</v>
      </c>
      <c r="E616" s="22" t="s">
        <v>129</v>
      </c>
      <c r="F616" s="24"/>
      <c r="G616" s="21">
        <f>G617+G619</f>
        <v>498.0999999999999</v>
      </c>
      <c r="H616" s="21"/>
      <c r="K616" s="21">
        <f>K617+K619</f>
        <v>187.10000000000002</v>
      </c>
      <c r="L616" s="21"/>
      <c r="M616" s="83"/>
    </row>
    <row r="617" spans="1:13" ht="63.75" customHeight="1">
      <c r="A617" s="36"/>
      <c r="B617" s="18" t="s">
        <v>170</v>
      </c>
      <c r="C617" s="22" t="s">
        <v>460</v>
      </c>
      <c r="D617" s="22" t="s">
        <v>126</v>
      </c>
      <c r="E617" s="22" t="s">
        <v>129</v>
      </c>
      <c r="F617" s="24" t="s">
        <v>168</v>
      </c>
      <c r="G617" s="21">
        <f>G618</f>
        <v>421.49999999999994</v>
      </c>
      <c r="H617" s="21"/>
      <c r="K617" s="21">
        <f>K618</f>
        <v>187.10000000000002</v>
      </c>
      <c r="L617" s="21"/>
      <c r="M617" s="83"/>
    </row>
    <row r="618" spans="1:13" ht="25.5" customHeight="1">
      <c r="A618" s="36"/>
      <c r="B618" s="18" t="s">
        <v>171</v>
      </c>
      <c r="C618" s="22" t="s">
        <v>460</v>
      </c>
      <c r="D618" s="22" t="s">
        <v>126</v>
      </c>
      <c r="E618" s="22" t="s">
        <v>129</v>
      </c>
      <c r="F618" s="24" t="s">
        <v>169</v>
      </c>
      <c r="G618" s="21">
        <f>G638+G646+G628+G623+G651+G643+G633</f>
        <v>421.49999999999994</v>
      </c>
      <c r="H618" s="21"/>
      <c r="K618" s="21">
        <f>K638+K646+K628+K623+K651+K643+K633</f>
        <v>187.10000000000002</v>
      </c>
      <c r="L618" s="21"/>
      <c r="M618" s="83"/>
    </row>
    <row r="619" spans="1:13" ht="25.5" customHeight="1">
      <c r="A619" s="36"/>
      <c r="B619" s="18" t="s">
        <v>159</v>
      </c>
      <c r="C619" s="22" t="s">
        <v>460</v>
      </c>
      <c r="D619" s="22" t="s">
        <v>126</v>
      </c>
      <c r="E619" s="22" t="s">
        <v>129</v>
      </c>
      <c r="F619" s="24" t="s">
        <v>158</v>
      </c>
      <c r="G619" s="21">
        <f>G620</f>
        <v>76.6</v>
      </c>
      <c r="H619" s="21"/>
      <c r="K619" s="21">
        <f>K620</f>
        <v>0</v>
      </c>
      <c r="L619" s="21"/>
      <c r="M619" s="83"/>
    </row>
    <row r="620" spans="1:13" ht="33.75" customHeight="1">
      <c r="A620" s="36"/>
      <c r="B620" s="18" t="s">
        <v>165</v>
      </c>
      <c r="C620" s="22" t="s">
        <v>460</v>
      </c>
      <c r="D620" s="22" t="s">
        <v>126</v>
      </c>
      <c r="E620" s="22" t="s">
        <v>129</v>
      </c>
      <c r="F620" s="24" t="s">
        <v>164</v>
      </c>
      <c r="G620" s="21">
        <f>G630+G625+G648+G640+G635</f>
        <v>76.6</v>
      </c>
      <c r="H620" s="21"/>
      <c r="K620" s="21">
        <f>K630+K625+K648+K640+K635</f>
        <v>0</v>
      </c>
      <c r="L620" s="21"/>
      <c r="M620" s="83"/>
    </row>
    <row r="621" spans="1:13" ht="82.5" customHeight="1">
      <c r="A621" s="36"/>
      <c r="B621" s="18" t="s">
        <v>521</v>
      </c>
      <c r="C621" s="22" t="s">
        <v>562</v>
      </c>
      <c r="D621" s="22" t="s">
        <v>126</v>
      </c>
      <c r="E621" s="22" t="s">
        <v>129</v>
      </c>
      <c r="F621" s="24"/>
      <c r="G621" s="21">
        <f>G622+G624</f>
        <v>123.89999999999999</v>
      </c>
      <c r="H621" s="21"/>
      <c r="K621" s="21">
        <f>K622+K624</f>
        <v>83.9</v>
      </c>
      <c r="L621" s="21"/>
      <c r="M621" s="83"/>
    </row>
    <row r="622" spans="1:13" ht="66" customHeight="1">
      <c r="A622" s="36"/>
      <c r="B622" s="18" t="s">
        <v>170</v>
      </c>
      <c r="C622" s="22" t="s">
        <v>562</v>
      </c>
      <c r="D622" s="22" t="s">
        <v>126</v>
      </c>
      <c r="E622" s="22" t="s">
        <v>129</v>
      </c>
      <c r="F622" s="24" t="s">
        <v>168</v>
      </c>
      <c r="G622" s="21">
        <f>G623</f>
        <v>103.3</v>
      </c>
      <c r="H622" s="21"/>
      <c r="K622" s="21">
        <f>K623</f>
        <v>83.9</v>
      </c>
      <c r="L622" s="21"/>
      <c r="M622" s="83"/>
    </row>
    <row r="623" spans="1:13" ht="24.75" customHeight="1">
      <c r="A623" s="36"/>
      <c r="B623" s="18" t="s">
        <v>171</v>
      </c>
      <c r="C623" s="22" t="s">
        <v>562</v>
      </c>
      <c r="D623" s="22" t="s">
        <v>126</v>
      </c>
      <c r="E623" s="22" t="s">
        <v>129</v>
      </c>
      <c r="F623" s="24" t="s">
        <v>169</v>
      </c>
      <c r="G623" s="21">
        <f>103.3</f>
        <v>103.3</v>
      </c>
      <c r="H623" s="21"/>
      <c r="K623" s="21">
        <v>83.9</v>
      </c>
      <c r="L623" s="21"/>
      <c r="M623" s="83"/>
    </row>
    <row r="624" spans="1:13" ht="23.25" customHeight="1">
      <c r="A624" s="36"/>
      <c r="B624" s="18" t="s">
        <v>159</v>
      </c>
      <c r="C624" s="22" t="s">
        <v>562</v>
      </c>
      <c r="D624" s="22" t="s">
        <v>126</v>
      </c>
      <c r="E624" s="22" t="s">
        <v>129</v>
      </c>
      <c r="F624" s="24" t="s">
        <v>158</v>
      </c>
      <c r="G624" s="21">
        <f>G625</f>
        <v>20.599999999999998</v>
      </c>
      <c r="H624" s="21"/>
      <c r="K624" s="21">
        <f>K625</f>
        <v>0</v>
      </c>
      <c r="L624" s="21"/>
      <c r="M624" s="83"/>
    </row>
    <row r="625" spans="1:13" ht="33.75" customHeight="1">
      <c r="A625" s="36"/>
      <c r="B625" s="18" t="s">
        <v>165</v>
      </c>
      <c r="C625" s="22" t="s">
        <v>562</v>
      </c>
      <c r="D625" s="22" t="s">
        <v>126</v>
      </c>
      <c r="E625" s="22" t="s">
        <v>129</v>
      </c>
      <c r="F625" s="24" t="s">
        <v>164</v>
      </c>
      <c r="G625" s="21">
        <f>2.9+17.7</f>
        <v>20.599999999999998</v>
      </c>
      <c r="H625" s="21"/>
      <c r="K625" s="21">
        <v>0</v>
      </c>
      <c r="L625" s="21"/>
      <c r="M625" s="83"/>
    </row>
    <row r="626" spans="1:13" ht="75" customHeight="1">
      <c r="A626" s="36"/>
      <c r="B626" s="18" t="s">
        <v>520</v>
      </c>
      <c r="C626" s="22" t="s">
        <v>563</v>
      </c>
      <c r="D626" s="22" t="s">
        <v>126</v>
      </c>
      <c r="E626" s="22" t="s">
        <v>129</v>
      </c>
      <c r="F626" s="24"/>
      <c r="G626" s="21">
        <f>G627+G629</f>
        <v>123.9</v>
      </c>
      <c r="H626" s="21"/>
      <c r="K626" s="21">
        <f>K627+K629</f>
        <v>103.2</v>
      </c>
      <c r="L626" s="21"/>
      <c r="M626" s="83"/>
    </row>
    <row r="627" spans="1:13" ht="62.25" customHeight="1">
      <c r="A627" s="36"/>
      <c r="B627" s="18" t="s">
        <v>170</v>
      </c>
      <c r="C627" s="22" t="s">
        <v>563</v>
      </c>
      <c r="D627" s="22" t="s">
        <v>126</v>
      </c>
      <c r="E627" s="22" t="s">
        <v>129</v>
      </c>
      <c r="F627" s="24" t="s">
        <v>168</v>
      </c>
      <c r="G627" s="21">
        <f>G628</f>
        <v>103.3</v>
      </c>
      <c r="H627" s="21"/>
      <c r="K627" s="21">
        <f>K628</f>
        <v>103.2</v>
      </c>
      <c r="L627" s="21"/>
      <c r="M627" s="83"/>
    </row>
    <row r="628" spans="1:13" ht="25.5" customHeight="1">
      <c r="A628" s="36"/>
      <c r="B628" s="18" t="s">
        <v>171</v>
      </c>
      <c r="C628" s="22" t="s">
        <v>563</v>
      </c>
      <c r="D628" s="22" t="s">
        <v>126</v>
      </c>
      <c r="E628" s="22" t="s">
        <v>129</v>
      </c>
      <c r="F628" s="24" t="s">
        <v>169</v>
      </c>
      <c r="G628" s="21">
        <f>103.3</f>
        <v>103.3</v>
      </c>
      <c r="H628" s="21"/>
      <c r="K628" s="21">
        <v>103.2</v>
      </c>
      <c r="L628" s="21"/>
      <c r="M628" s="83"/>
    </row>
    <row r="629" spans="1:13" ht="24.75" customHeight="1">
      <c r="A629" s="36"/>
      <c r="B629" s="18" t="s">
        <v>159</v>
      </c>
      <c r="C629" s="22" t="s">
        <v>563</v>
      </c>
      <c r="D629" s="22" t="s">
        <v>126</v>
      </c>
      <c r="E629" s="22" t="s">
        <v>129</v>
      </c>
      <c r="F629" s="24" t="s">
        <v>158</v>
      </c>
      <c r="G629" s="21">
        <f>G630</f>
        <v>20.6</v>
      </c>
      <c r="H629" s="21"/>
      <c r="K629" s="21">
        <f>K630</f>
        <v>0</v>
      </c>
      <c r="L629" s="21"/>
      <c r="M629" s="83"/>
    </row>
    <row r="630" spans="1:13" ht="33.75" customHeight="1">
      <c r="A630" s="36"/>
      <c r="B630" s="18" t="s">
        <v>165</v>
      </c>
      <c r="C630" s="22" t="s">
        <v>563</v>
      </c>
      <c r="D630" s="22" t="s">
        <v>126</v>
      </c>
      <c r="E630" s="22" t="s">
        <v>129</v>
      </c>
      <c r="F630" s="24" t="s">
        <v>164</v>
      </c>
      <c r="G630" s="21">
        <f>20.6</f>
        <v>20.6</v>
      </c>
      <c r="H630" s="21"/>
      <c r="K630" s="21">
        <v>0</v>
      </c>
      <c r="L630" s="21"/>
      <c r="M630" s="83"/>
    </row>
    <row r="631" spans="1:13" ht="81" customHeight="1">
      <c r="A631" s="36"/>
      <c r="B631" s="18" t="s">
        <v>674</v>
      </c>
      <c r="C631" s="22" t="s">
        <v>675</v>
      </c>
      <c r="D631" s="22" t="s">
        <v>126</v>
      </c>
      <c r="E631" s="22" t="s">
        <v>129</v>
      </c>
      <c r="F631" s="24"/>
      <c r="G631" s="21">
        <f>G632+G634</f>
        <v>123.9</v>
      </c>
      <c r="H631" s="21"/>
      <c r="K631" s="21">
        <f>K632+K634</f>
        <v>0</v>
      </c>
      <c r="L631" s="21"/>
      <c r="M631" s="83"/>
    </row>
    <row r="632" spans="1:13" ht="63.75" customHeight="1">
      <c r="A632" s="36"/>
      <c r="B632" s="18" t="s">
        <v>170</v>
      </c>
      <c r="C632" s="22" t="s">
        <v>675</v>
      </c>
      <c r="D632" s="22" t="s">
        <v>126</v>
      </c>
      <c r="E632" s="22" t="s">
        <v>129</v>
      </c>
      <c r="F632" s="24" t="s">
        <v>168</v>
      </c>
      <c r="G632" s="21">
        <f>G633</f>
        <v>103.2</v>
      </c>
      <c r="H632" s="21"/>
      <c r="K632" s="21">
        <f>K633</f>
        <v>0</v>
      </c>
      <c r="L632" s="21"/>
      <c r="M632" s="83"/>
    </row>
    <row r="633" spans="1:13" ht="33.75" customHeight="1">
      <c r="A633" s="36"/>
      <c r="B633" s="18" t="s">
        <v>171</v>
      </c>
      <c r="C633" s="22" t="s">
        <v>675</v>
      </c>
      <c r="D633" s="22" t="s">
        <v>126</v>
      </c>
      <c r="E633" s="22" t="s">
        <v>129</v>
      </c>
      <c r="F633" s="24" t="s">
        <v>169</v>
      </c>
      <c r="G633" s="21">
        <f>103.2</f>
        <v>103.2</v>
      </c>
      <c r="H633" s="21"/>
      <c r="K633" s="21">
        <v>0</v>
      </c>
      <c r="L633" s="21"/>
      <c r="M633" s="83"/>
    </row>
    <row r="634" spans="1:13" ht="33.75" customHeight="1">
      <c r="A634" s="36"/>
      <c r="B634" s="18" t="s">
        <v>159</v>
      </c>
      <c r="C634" s="22" t="s">
        <v>675</v>
      </c>
      <c r="D634" s="22" t="s">
        <v>126</v>
      </c>
      <c r="E634" s="22" t="s">
        <v>129</v>
      </c>
      <c r="F634" s="24" t="s">
        <v>158</v>
      </c>
      <c r="G634" s="21">
        <f>G635</f>
        <v>20.7</v>
      </c>
      <c r="H634" s="21"/>
      <c r="K634" s="21">
        <f>K635</f>
        <v>0</v>
      </c>
      <c r="L634" s="21"/>
      <c r="M634" s="83"/>
    </row>
    <row r="635" spans="1:13" ht="33.75" customHeight="1">
      <c r="A635" s="36"/>
      <c r="B635" s="18" t="s">
        <v>165</v>
      </c>
      <c r="C635" s="22" t="s">
        <v>675</v>
      </c>
      <c r="D635" s="22" t="s">
        <v>126</v>
      </c>
      <c r="E635" s="22" t="s">
        <v>129</v>
      </c>
      <c r="F635" s="24" t="s">
        <v>164</v>
      </c>
      <c r="G635" s="21">
        <v>20.7</v>
      </c>
      <c r="H635" s="21"/>
      <c r="K635" s="21">
        <v>0</v>
      </c>
      <c r="L635" s="21"/>
      <c r="M635" s="83"/>
    </row>
    <row r="636" spans="1:13" ht="79.5" customHeight="1">
      <c r="A636" s="36"/>
      <c r="B636" s="18" t="s">
        <v>518</v>
      </c>
      <c r="C636" s="22" t="s">
        <v>564</v>
      </c>
      <c r="D636" s="22" t="s">
        <v>126</v>
      </c>
      <c r="E636" s="22" t="s">
        <v>129</v>
      </c>
      <c r="F636" s="24"/>
      <c r="G636" s="21">
        <f>G637+G639</f>
        <v>44.199999999999996</v>
      </c>
      <c r="H636" s="21"/>
      <c r="K636" s="21">
        <f>K637+K639</f>
        <v>0</v>
      </c>
      <c r="L636" s="21"/>
      <c r="M636" s="83"/>
    </row>
    <row r="637" spans="1:13" ht="63.75" customHeight="1">
      <c r="A637" s="36"/>
      <c r="B637" s="18" t="s">
        <v>170</v>
      </c>
      <c r="C637" s="22" t="s">
        <v>564</v>
      </c>
      <c r="D637" s="22" t="s">
        <v>126</v>
      </c>
      <c r="E637" s="22" t="s">
        <v>129</v>
      </c>
      <c r="F637" s="24" t="s">
        <v>168</v>
      </c>
      <c r="G637" s="21">
        <f>G638</f>
        <v>36.9</v>
      </c>
      <c r="H637" s="21"/>
      <c r="K637" s="21">
        <f>K638</f>
        <v>0</v>
      </c>
      <c r="L637" s="21"/>
      <c r="M637" s="83"/>
    </row>
    <row r="638" spans="1:13" ht="25.5" customHeight="1">
      <c r="A638" s="36"/>
      <c r="B638" s="18" t="s">
        <v>171</v>
      </c>
      <c r="C638" s="22" t="s">
        <v>564</v>
      </c>
      <c r="D638" s="22" t="s">
        <v>126</v>
      </c>
      <c r="E638" s="22" t="s">
        <v>129</v>
      </c>
      <c r="F638" s="24" t="s">
        <v>169</v>
      </c>
      <c r="G638" s="21">
        <f>36.9</f>
        <v>36.9</v>
      </c>
      <c r="H638" s="21"/>
      <c r="K638" s="21">
        <v>0</v>
      </c>
      <c r="L638" s="21"/>
      <c r="M638" s="83"/>
    </row>
    <row r="639" spans="1:13" ht="25.5" customHeight="1">
      <c r="A639" s="36"/>
      <c r="B639" s="18" t="s">
        <v>159</v>
      </c>
      <c r="C639" s="22" t="s">
        <v>564</v>
      </c>
      <c r="D639" s="22" t="s">
        <v>126</v>
      </c>
      <c r="E639" s="22" t="s">
        <v>129</v>
      </c>
      <c r="F639" s="24" t="s">
        <v>158</v>
      </c>
      <c r="G639" s="21">
        <f>G640</f>
        <v>7.3</v>
      </c>
      <c r="H639" s="21"/>
      <c r="K639" s="21">
        <f>K640</f>
        <v>0</v>
      </c>
      <c r="L639" s="21"/>
      <c r="M639" s="83"/>
    </row>
    <row r="640" spans="1:13" ht="30" customHeight="1">
      <c r="A640" s="36"/>
      <c r="B640" s="18" t="s">
        <v>165</v>
      </c>
      <c r="C640" s="22" t="s">
        <v>564</v>
      </c>
      <c r="D640" s="22" t="s">
        <v>126</v>
      </c>
      <c r="E640" s="22" t="s">
        <v>129</v>
      </c>
      <c r="F640" s="24" t="s">
        <v>164</v>
      </c>
      <c r="G640" s="21">
        <v>7.3</v>
      </c>
      <c r="H640" s="21"/>
      <c r="K640" s="21">
        <v>0</v>
      </c>
      <c r="L640" s="21"/>
      <c r="M640" s="83"/>
    </row>
    <row r="641" spans="1:13" ht="73.5" customHeight="1">
      <c r="A641" s="36"/>
      <c r="B641" s="18" t="s">
        <v>579</v>
      </c>
      <c r="C641" s="22" t="s">
        <v>580</v>
      </c>
      <c r="D641" s="22" t="s">
        <v>126</v>
      </c>
      <c r="E641" s="22" t="s">
        <v>129</v>
      </c>
      <c r="F641" s="24"/>
      <c r="G641" s="21">
        <f>G642</f>
        <v>1</v>
      </c>
      <c r="H641" s="21"/>
      <c r="K641" s="21">
        <f>K642</f>
        <v>0</v>
      </c>
      <c r="L641" s="21"/>
      <c r="M641" s="83"/>
    </row>
    <row r="642" spans="1:13" ht="63" customHeight="1">
      <c r="A642" s="36"/>
      <c r="B642" s="18" t="s">
        <v>170</v>
      </c>
      <c r="C642" s="22" t="s">
        <v>580</v>
      </c>
      <c r="D642" s="22" t="s">
        <v>126</v>
      </c>
      <c r="E642" s="22" t="s">
        <v>129</v>
      </c>
      <c r="F642" s="24" t="s">
        <v>168</v>
      </c>
      <c r="G642" s="21">
        <f>G643</f>
        <v>1</v>
      </c>
      <c r="H642" s="21"/>
      <c r="K642" s="21">
        <f>K643</f>
        <v>0</v>
      </c>
      <c r="L642" s="21"/>
      <c r="M642" s="83"/>
    </row>
    <row r="643" spans="1:13" ht="23.25" customHeight="1">
      <c r="A643" s="36"/>
      <c r="B643" s="18" t="s">
        <v>171</v>
      </c>
      <c r="C643" s="22" t="s">
        <v>580</v>
      </c>
      <c r="D643" s="22" t="s">
        <v>126</v>
      </c>
      <c r="E643" s="22" t="s">
        <v>129</v>
      </c>
      <c r="F643" s="24" t="s">
        <v>169</v>
      </c>
      <c r="G643" s="21">
        <v>1</v>
      </c>
      <c r="H643" s="21"/>
      <c r="K643" s="21">
        <v>0</v>
      </c>
      <c r="L643" s="21"/>
      <c r="M643" s="83"/>
    </row>
    <row r="644" spans="1:13" ht="81.75" customHeight="1">
      <c r="A644" s="36"/>
      <c r="B644" s="18" t="s">
        <v>519</v>
      </c>
      <c r="C644" s="22" t="s">
        <v>565</v>
      </c>
      <c r="D644" s="22" t="s">
        <v>126</v>
      </c>
      <c r="E644" s="22" t="s">
        <v>129</v>
      </c>
      <c r="F644" s="24"/>
      <c r="G644" s="21">
        <f>G645+G647</f>
        <v>44.3</v>
      </c>
      <c r="H644" s="21"/>
      <c r="K644" s="21">
        <f>K645+K647</f>
        <v>0</v>
      </c>
      <c r="L644" s="21"/>
      <c r="M644" s="83"/>
    </row>
    <row r="645" spans="1:13" ht="63.75" customHeight="1">
      <c r="A645" s="36"/>
      <c r="B645" s="18" t="s">
        <v>170</v>
      </c>
      <c r="C645" s="22" t="s">
        <v>565</v>
      </c>
      <c r="D645" s="22" t="s">
        <v>126</v>
      </c>
      <c r="E645" s="22" t="s">
        <v>129</v>
      </c>
      <c r="F645" s="24" t="s">
        <v>168</v>
      </c>
      <c r="G645" s="21">
        <f>G646</f>
        <v>36.9</v>
      </c>
      <c r="H645" s="21"/>
      <c r="K645" s="21">
        <f>K646</f>
        <v>0</v>
      </c>
      <c r="L645" s="21"/>
      <c r="M645" s="83"/>
    </row>
    <row r="646" spans="1:13" ht="22.5" customHeight="1">
      <c r="A646" s="36"/>
      <c r="B646" s="18" t="s">
        <v>171</v>
      </c>
      <c r="C646" s="22" t="s">
        <v>565</v>
      </c>
      <c r="D646" s="22" t="s">
        <v>126</v>
      </c>
      <c r="E646" s="22" t="s">
        <v>129</v>
      </c>
      <c r="F646" s="24" t="s">
        <v>169</v>
      </c>
      <c r="G646" s="21">
        <f>36.9</f>
        <v>36.9</v>
      </c>
      <c r="H646" s="21"/>
      <c r="K646" s="21">
        <v>0</v>
      </c>
      <c r="L646" s="21"/>
      <c r="M646" s="83"/>
    </row>
    <row r="647" spans="1:13" ht="24.75" customHeight="1">
      <c r="A647" s="36"/>
      <c r="B647" s="18" t="s">
        <v>159</v>
      </c>
      <c r="C647" s="22" t="s">
        <v>565</v>
      </c>
      <c r="D647" s="22" t="s">
        <v>126</v>
      </c>
      <c r="E647" s="22" t="s">
        <v>129</v>
      </c>
      <c r="F647" s="24" t="s">
        <v>158</v>
      </c>
      <c r="G647" s="21">
        <f>G648</f>
        <v>7.4</v>
      </c>
      <c r="H647" s="21"/>
      <c r="K647" s="21">
        <f>K648</f>
        <v>0</v>
      </c>
      <c r="L647" s="21"/>
      <c r="M647" s="83"/>
    </row>
    <row r="648" spans="1:13" ht="33.75" customHeight="1">
      <c r="A648" s="36"/>
      <c r="B648" s="18" t="s">
        <v>165</v>
      </c>
      <c r="C648" s="22" t="s">
        <v>565</v>
      </c>
      <c r="D648" s="22" t="s">
        <v>126</v>
      </c>
      <c r="E648" s="22" t="s">
        <v>129</v>
      </c>
      <c r="F648" s="24" t="s">
        <v>164</v>
      </c>
      <c r="G648" s="21">
        <f>7.4</f>
        <v>7.4</v>
      </c>
      <c r="H648" s="21"/>
      <c r="K648" s="21">
        <v>0</v>
      </c>
      <c r="L648" s="21"/>
      <c r="M648" s="83"/>
    </row>
    <row r="649" spans="1:13" ht="66.75" customHeight="1">
      <c r="A649" s="36"/>
      <c r="B649" s="18" t="s">
        <v>524</v>
      </c>
      <c r="C649" s="22" t="s">
        <v>566</v>
      </c>
      <c r="D649" s="22" t="s">
        <v>126</v>
      </c>
      <c r="E649" s="22" t="s">
        <v>129</v>
      </c>
      <c r="F649" s="24"/>
      <c r="G649" s="21">
        <f>G650</f>
        <v>36.9</v>
      </c>
      <c r="H649" s="21"/>
      <c r="K649" s="21">
        <f>K650</f>
        <v>0</v>
      </c>
      <c r="L649" s="21"/>
      <c r="M649" s="83"/>
    </row>
    <row r="650" spans="1:13" ht="64.5" customHeight="1">
      <c r="A650" s="36"/>
      <c r="B650" s="18" t="s">
        <v>170</v>
      </c>
      <c r="C650" s="22" t="s">
        <v>566</v>
      </c>
      <c r="D650" s="22" t="s">
        <v>126</v>
      </c>
      <c r="E650" s="22" t="s">
        <v>129</v>
      </c>
      <c r="F650" s="24" t="s">
        <v>168</v>
      </c>
      <c r="G650" s="21">
        <f>G651</f>
        <v>36.9</v>
      </c>
      <c r="H650" s="21"/>
      <c r="K650" s="21">
        <f>K651</f>
        <v>0</v>
      </c>
      <c r="L650" s="21"/>
      <c r="M650" s="83"/>
    </row>
    <row r="651" spans="1:13" ht="22.5" customHeight="1">
      <c r="A651" s="36"/>
      <c r="B651" s="18" t="s">
        <v>171</v>
      </c>
      <c r="C651" s="22" t="s">
        <v>566</v>
      </c>
      <c r="D651" s="22" t="s">
        <v>126</v>
      </c>
      <c r="E651" s="22" t="s">
        <v>129</v>
      </c>
      <c r="F651" s="24" t="s">
        <v>169</v>
      </c>
      <c r="G651" s="21">
        <v>36.9</v>
      </c>
      <c r="H651" s="21"/>
      <c r="K651" s="21">
        <v>0</v>
      </c>
      <c r="L651" s="21"/>
      <c r="M651" s="83"/>
    </row>
    <row r="652" spans="1:13" ht="15.75">
      <c r="A652" s="36"/>
      <c r="B652" s="18" t="s">
        <v>239</v>
      </c>
      <c r="C652" s="22" t="s">
        <v>287</v>
      </c>
      <c r="D652" s="22" t="s">
        <v>126</v>
      </c>
      <c r="E652" s="22" t="s">
        <v>136</v>
      </c>
      <c r="F652" s="22"/>
      <c r="G652" s="21">
        <f>G653+G689+G665</f>
        <v>51834.1</v>
      </c>
      <c r="H652" s="30"/>
      <c r="K652" s="21">
        <f>K653+K689+K665</f>
        <v>50194.2</v>
      </c>
      <c r="L652" s="30"/>
      <c r="M652" s="83"/>
    </row>
    <row r="653" spans="1:13" ht="15.75">
      <c r="A653" s="36"/>
      <c r="B653" s="18" t="s">
        <v>180</v>
      </c>
      <c r="C653" s="22" t="s">
        <v>292</v>
      </c>
      <c r="D653" s="22" t="s">
        <v>126</v>
      </c>
      <c r="E653" s="22" t="s">
        <v>136</v>
      </c>
      <c r="F653" s="22"/>
      <c r="G653" s="21">
        <f>G654+G657+G660</f>
        <v>36068.3</v>
      </c>
      <c r="H653" s="18"/>
      <c r="K653" s="21">
        <f>K654+K657+K660</f>
        <v>35232.6</v>
      </c>
      <c r="L653" s="18"/>
      <c r="M653" s="83"/>
    </row>
    <row r="654" spans="1:13" ht="15.75">
      <c r="A654" s="36"/>
      <c r="B654" s="18" t="s">
        <v>181</v>
      </c>
      <c r="C654" s="22" t="s">
        <v>289</v>
      </c>
      <c r="D654" s="22" t="s">
        <v>126</v>
      </c>
      <c r="E654" s="22" t="s">
        <v>136</v>
      </c>
      <c r="F654" s="22"/>
      <c r="G654" s="21">
        <f>G655</f>
        <v>12739.5</v>
      </c>
      <c r="H654" s="18"/>
      <c r="K654" s="21">
        <f>K655</f>
        <v>12682.9</v>
      </c>
      <c r="L654" s="18"/>
      <c r="M654" s="83"/>
    </row>
    <row r="655" spans="1:13" ht="63">
      <c r="A655" s="36"/>
      <c r="B655" s="18" t="s">
        <v>170</v>
      </c>
      <c r="C655" s="22" t="s">
        <v>289</v>
      </c>
      <c r="D655" s="22" t="s">
        <v>126</v>
      </c>
      <c r="E655" s="22" t="s">
        <v>136</v>
      </c>
      <c r="F655" s="22" t="s">
        <v>168</v>
      </c>
      <c r="G655" s="21">
        <f>G656</f>
        <v>12739.5</v>
      </c>
      <c r="H655" s="18"/>
      <c r="K655" s="21">
        <f>K656</f>
        <v>12682.9</v>
      </c>
      <c r="L655" s="18"/>
      <c r="M655" s="83"/>
    </row>
    <row r="656" spans="1:13" ht="15.75">
      <c r="A656" s="36"/>
      <c r="B656" s="18" t="s">
        <v>171</v>
      </c>
      <c r="C656" s="22" t="s">
        <v>289</v>
      </c>
      <c r="D656" s="22" t="s">
        <v>126</v>
      </c>
      <c r="E656" s="22" t="s">
        <v>136</v>
      </c>
      <c r="F656" s="22" t="s">
        <v>169</v>
      </c>
      <c r="G656" s="21">
        <f>14527.7-961.2-187-200-440</f>
        <v>12739.5</v>
      </c>
      <c r="H656" s="18"/>
      <c r="K656" s="21">
        <v>12682.9</v>
      </c>
      <c r="L656" s="18"/>
      <c r="M656" s="83"/>
    </row>
    <row r="657" spans="1:13" ht="15.75">
      <c r="A657" s="36"/>
      <c r="B657" s="18" t="s">
        <v>182</v>
      </c>
      <c r="C657" s="22" t="s">
        <v>290</v>
      </c>
      <c r="D657" s="22" t="s">
        <v>126</v>
      </c>
      <c r="E657" s="22" t="s">
        <v>136</v>
      </c>
      <c r="F657" s="22"/>
      <c r="G657" s="21">
        <f>G658</f>
        <v>20320.300000000003</v>
      </c>
      <c r="H657" s="18"/>
      <c r="K657" s="21">
        <f>K658</f>
        <v>20216.2</v>
      </c>
      <c r="L657" s="18"/>
      <c r="M657" s="83"/>
    </row>
    <row r="658" spans="1:13" ht="63">
      <c r="A658" s="36"/>
      <c r="B658" s="18" t="s">
        <v>170</v>
      </c>
      <c r="C658" s="22" t="s">
        <v>290</v>
      </c>
      <c r="D658" s="22" t="s">
        <v>126</v>
      </c>
      <c r="E658" s="22" t="s">
        <v>136</v>
      </c>
      <c r="F658" s="22" t="s">
        <v>168</v>
      </c>
      <c r="G658" s="21">
        <f>G659</f>
        <v>20320.300000000003</v>
      </c>
      <c r="H658" s="18"/>
      <c r="K658" s="21">
        <f>K659</f>
        <v>20216.2</v>
      </c>
      <c r="L658" s="18"/>
      <c r="M658" s="83"/>
    </row>
    <row r="659" spans="1:13" ht="15.75">
      <c r="A659" s="36"/>
      <c r="B659" s="18" t="s">
        <v>171</v>
      </c>
      <c r="C659" s="22" t="s">
        <v>290</v>
      </c>
      <c r="D659" s="22" t="s">
        <v>126</v>
      </c>
      <c r="E659" s="22" t="s">
        <v>136</v>
      </c>
      <c r="F659" s="22" t="s">
        <v>169</v>
      </c>
      <c r="G659" s="21">
        <f>20304.4+315.9-300</f>
        <v>20320.300000000003</v>
      </c>
      <c r="H659" s="18"/>
      <c r="K659" s="21">
        <v>20216.2</v>
      </c>
      <c r="L659" s="18"/>
      <c r="M659" s="83"/>
    </row>
    <row r="660" spans="1:13" ht="31.5">
      <c r="A660" s="36"/>
      <c r="B660" s="18" t="s">
        <v>183</v>
      </c>
      <c r="C660" s="22" t="s">
        <v>291</v>
      </c>
      <c r="D660" s="22" t="s">
        <v>126</v>
      </c>
      <c r="E660" s="22" t="s">
        <v>136</v>
      </c>
      <c r="F660" s="22"/>
      <c r="G660" s="21">
        <f>G661+G663</f>
        <v>3008.5</v>
      </c>
      <c r="H660" s="18"/>
      <c r="K660" s="21">
        <f>K661+K663</f>
        <v>2333.5</v>
      </c>
      <c r="L660" s="18"/>
      <c r="M660" s="83"/>
    </row>
    <row r="661" spans="1:13" ht="15.75">
      <c r="A661" s="36"/>
      <c r="B661" s="18" t="s">
        <v>159</v>
      </c>
      <c r="C661" s="22" t="s">
        <v>291</v>
      </c>
      <c r="D661" s="22" t="s">
        <v>126</v>
      </c>
      <c r="E661" s="22" t="s">
        <v>136</v>
      </c>
      <c r="F661" s="22" t="s">
        <v>158</v>
      </c>
      <c r="G661" s="21">
        <f>G662</f>
        <v>2968.5</v>
      </c>
      <c r="H661" s="18"/>
      <c r="K661" s="21">
        <f>K662</f>
        <v>2313</v>
      </c>
      <c r="L661" s="18"/>
      <c r="M661" s="83"/>
    </row>
    <row r="662" spans="1:13" ht="31.5">
      <c r="A662" s="36"/>
      <c r="B662" s="18" t="s">
        <v>165</v>
      </c>
      <c r="C662" s="22" t="s">
        <v>291</v>
      </c>
      <c r="D662" s="22" t="s">
        <v>126</v>
      </c>
      <c r="E662" s="22" t="s">
        <v>136</v>
      </c>
      <c r="F662" s="22" t="s">
        <v>164</v>
      </c>
      <c r="G662" s="21">
        <f>2526-445-37.5+925</f>
        <v>2968.5</v>
      </c>
      <c r="H662" s="18"/>
      <c r="K662" s="21">
        <v>2313</v>
      </c>
      <c r="L662" s="18"/>
      <c r="M662" s="83"/>
    </row>
    <row r="663" spans="1:13" ht="15.75">
      <c r="A663" s="36"/>
      <c r="B663" s="18" t="s">
        <v>184</v>
      </c>
      <c r="C663" s="22" t="s">
        <v>291</v>
      </c>
      <c r="D663" s="22" t="s">
        <v>126</v>
      </c>
      <c r="E663" s="22" t="s">
        <v>136</v>
      </c>
      <c r="F663" s="22" t="s">
        <v>185</v>
      </c>
      <c r="G663" s="21">
        <f>G664</f>
        <v>40</v>
      </c>
      <c r="H663" s="18"/>
      <c r="K663" s="21">
        <f>K664</f>
        <v>20.5</v>
      </c>
      <c r="L663" s="18"/>
      <c r="M663" s="83"/>
    </row>
    <row r="664" spans="1:13" ht="15.75">
      <c r="A664" s="36"/>
      <c r="B664" s="18" t="s">
        <v>186</v>
      </c>
      <c r="C664" s="22" t="s">
        <v>291</v>
      </c>
      <c r="D664" s="22" t="s">
        <v>126</v>
      </c>
      <c r="E664" s="22" t="s">
        <v>136</v>
      </c>
      <c r="F664" s="22" t="s">
        <v>187</v>
      </c>
      <c r="G664" s="21">
        <f>40</f>
        <v>40</v>
      </c>
      <c r="H664" s="18"/>
      <c r="K664" s="21">
        <v>20.5</v>
      </c>
      <c r="L664" s="18"/>
      <c r="M664" s="83"/>
    </row>
    <row r="665" spans="1:13" ht="94.5">
      <c r="A665" s="36"/>
      <c r="B665" s="18" t="s">
        <v>505</v>
      </c>
      <c r="C665" s="22" t="s">
        <v>506</v>
      </c>
      <c r="D665" s="22" t="s">
        <v>126</v>
      </c>
      <c r="E665" s="22" t="s">
        <v>136</v>
      </c>
      <c r="F665" s="22"/>
      <c r="G665" s="75">
        <f>G666</f>
        <v>2010.1</v>
      </c>
      <c r="H665" s="18"/>
      <c r="K665" s="75">
        <f>K666</f>
        <v>2010.1</v>
      </c>
      <c r="L665" s="18"/>
      <c r="M665" s="83"/>
    </row>
    <row r="666" spans="1:13" ht="15.75">
      <c r="A666" s="36"/>
      <c r="B666" s="18" t="s">
        <v>180</v>
      </c>
      <c r="C666" s="22" t="s">
        <v>506</v>
      </c>
      <c r="D666" s="22" t="s">
        <v>126</v>
      </c>
      <c r="E666" s="22" t="s">
        <v>136</v>
      </c>
      <c r="F666" s="22"/>
      <c r="G666" s="75">
        <f>G667</f>
        <v>2010.1</v>
      </c>
      <c r="H666" s="18"/>
      <c r="K666" s="75">
        <f>K667</f>
        <v>2010.1</v>
      </c>
      <c r="L666" s="18"/>
      <c r="M666" s="83"/>
    </row>
    <row r="667" spans="1:13" ht="63">
      <c r="A667" s="36"/>
      <c r="B667" s="18" t="s">
        <v>170</v>
      </c>
      <c r="C667" s="22" t="s">
        <v>506</v>
      </c>
      <c r="D667" s="22" t="s">
        <v>126</v>
      </c>
      <c r="E667" s="22" t="s">
        <v>136</v>
      </c>
      <c r="F667" s="22" t="s">
        <v>168</v>
      </c>
      <c r="G667" s="75">
        <f>G668</f>
        <v>2010.1</v>
      </c>
      <c r="H667" s="18"/>
      <c r="K667" s="75">
        <f>K668</f>
        <v>2010.1</v>
      </c>
      <c r="L667" s="18"/>
      <c r="M667" s="83"/>
    </row>
    <row r="668" spans="1:13" ht="15.75">
      <c r="A668" s="36"/>
      <c r="B668" s="18" t="s">
        <v>171</v>
      </c>
      <c r="C668" s="22" t="s">
        <v>506</v>
      </c>
      <c r="D668" s="22" t="s">
        <v>126</v>
      </c>
      <c r="E668" s="22" t="s">
        <v>136</v>
      </c>
      <c r="F668" s="22" t="s">
        <v>169</v>
      </c>
      <c r="G668" s="75">
        <f>G676+G680+G684+G688+G672</f>
        <v>2010.1</v>
      </c>
      <c r="H668" s="18"/>
      <c r="K668" s="75">
        <f>K676+K680+K684+K688+K672</f>
        <v>2010.1</v>
      </c>
      <c r="L668" s="18"/>
      <c r="M668" s="83"/>
    </row>
    <row r="669" spans="1:13" ht="94.5">
      <c r="A669" s="36"/>
      <c r="B669" s="18" t="s">
        <v>507</v>
      </c>
      <c r="C669" s="22" t="s">
        <v>508</v>
      </c>
      <c r="D669" s="22" t="s">
        <v>126</v>
      </c>
      <c r="E669" s="22" t="s">
        <v>136</v>
      </c>
      <c r="F669" s="22"/>
      <c r="G669" s="75">
        <f>G670</f>
        <v>402</v>
      </c>
      <c r="H669" s="18"/>
      <c r="K669" s="75">
        <f>K670</f>
        <v>402</v>
      </c>
      <c r="L669" s="18"/>
      <c r="M669" s="83"/>
    </row>
    <row r="670" spans="1:13" ht="15.75">
      <c r="A670" s="36"/>
      <c r="B670" s="18" t="s">
        <v>180</v>
      </c>
      <c r="C670" s="22" t="s">
        <v>508</v>
      </c>
      <c r="D670" s="22" t="s">
        <v>126</v>
      </c>
      <c r="E670" s="22" t="s">
        <v>136</v>
      </c>
      <c r="F670" s="22"/>
      <c r="G670" s="75">
        <f>G671</f>
        <v>402</v>
      </c>
      <c r="H670" s="18"/>
      <c r="K670" s="75">
        <f>K671</f>
        <v>402</v>
      </c>
      <c r="L670" s="18"/>
      <c r="M670" s="83"/>
    </row>
    <row r="671" spans="1:13" ht="63">
      <c r="A671" s="36"/>
      <c r="B671" s="18" t="s">
        <v>170</v>
      </c>
      <c r="C671" s="22" t="s">
        <v>508</v>
      </c>
      <c r="D671" s="22" t="s">
        <v>126</v>
      </c>
      <c r="E671" s="22" t="s">
        <v>136</v>
      </c>
      <c r="F671" s="22" t="s">
        <v>168</v>
      </c>
      <c r="G671" s="75">
        <f>G672</f>
        <v>402</v>
      </c>
      <c r="H671" s="18"/>
      <c r="K671" s="75">
        <f>K672</f>
        <v>402</v>
      </c>
      <c r="L671" s="18"/>
      <c r="M671" s="83"/>
    </row>
    <row r="672" spans="1:13" ht="15.75">
      <c r="A672" s="36"/>
      <c r="B672" s="18" t="s">
        <v>171</v>
      </c>
      <c r="C672" s="22" t="s">
        <v>508</v>
      </c>
      <c r="D672" s="22" t="s">
        <v>126</v>
      </c>
      <c r="E672" s="22" t="s">
        <v>136</v>
      </c>
      <c r="F672" s="22" t="s">
        <v>169</v>
      </c>
      <c r="G672" s="75">
        <f>402</f>
        <v>402</v>
      </c>
      <c r="H672" s="18"/>
      <c r="K672" s="75">
        <f>402</f>
        <v>402</v>
      </c>
      <c r="L672" s="18"/>
      <c r="M672" s="83"/>
    </row>
    <row r="673" spans="1:13" ht="94.5">
      <c r="A673" s="36"/>
      <c r="B673" s="18" t="s">
        <v>509</v>
      </c>
      <c r="C673" s="22" t="s">
        <v>510</v>
      </c>
      <c r="D673" s="22" t="s">
        <v>126</v>
      </c>
      <c r="E673" s="22" t="s">
        <v>136</v>
      </c>
      <c r="F673" s="22"/>
      <c r="G673" s="75">
        <f>G674</f>
        <v>402</v>
      </c>
      <c r="H673" s="18"/>
      <c r="K673" s="75">
        <f>K674</f>
        <v>402</v>
      </c>
      <c r="L673" s="18"/>
      <c r="M673" s="83"/>
    </row>
    <row r="674" spans="1:13" ht="15.75">
      <c r="A674" s="36"/>
      <c r="B674" s="18" t="s">
        <v>180</v>
      </c>
      <c r="C674" s="22" t="s">
        <v>510</v>
      </c>
      <c r="D674" s="22" t="s">
        <v>126</v>
      </c>
      <c r="E674" s="22" t="s">
        <v>136</v>
      </c>
      <c r="F674" s="22"/>
      <c r="G674" s="75">
        <f>G675</f>
        <v>402</v>
      </c>
      <c r="H674" s="18"/>
      <c r="K674" s="75">
        <f>K675</f>
        <v>402</v>
      </c>
      <c r="L674" s="18"/>
      <c r="M674" s="83"/>
    </row>
    <row r="675" spans="1:13" ht="63">
      <c r="A675" s="36"/>
      <c r="B675" s="18" t="s">
        <v>170</v>
      </c>
      <c r="C675" s="22" t="s">
        <v>510</v>
      </c>
      <c r="D675" s="22" t="s">
        <v>126</v>
      </c>
      <c r="E675" s="22" t="s">
        <v>136</v>
      </c>
      <c r="F675" s="22" t="s">
        <v>168</v>
      </c>
      <c r="G675" s="75">
        <f>G676</f>
        <v>402</v>
      </c>
      <c r="H675" s="18"/>
      <c r="K675" s="75">
        <f>K676</f>
        <v>402</v>
      </c>
      <c r="L675" s="18"/>
      <c r="M675" s="83"/>
    </row>
    <row r="676" spans="1:13" ht="15.75">
      <c r="A676" s="36"/>
      <c r="B676" s="18" t="s">
        <v>171</v>
      </c>
      <c r="C676" s="22" t="s">
        <v>510</v>
      </c>
      <c r="D676" s="22" t="s">
        <v>126</v>
      </c>
      <c r="E676" s="22" t="s">
        <v>136</v>
      </c>
      <c r="F676" s="22" t="s">
        <v>169</v>
      </c>
      <c r="G676" s="75">
        <f>402</f>
        <v>402</v>
      </c>
      <c r="H676" s="18"/>
      <c r="K676" s="75">
        <f>402</f>
        <v>402</v>
      </c>
      <c r="L676" s="18"/>
      <c r="M676" s="83"/>
    </row>
    <row r="677" spans="1:13" ht="94.5">
      <c r="A677" s="36"/>
      <c r="B677" s="18" t="s">
        <v>511</v>
      </c>
      <c r="C677" s="22" t="s">
        <v>512</v>
      </c>
      <c r="D677" s="22" t="s">
        <v>126</v>
      </c>
      <c r="E677" s="22" t="s">
        <v>136</v>
      </c>
      <c r="F677" s="22"/>
      <c r="G677" s="75">
        <f>G678</f>
        <v>402.1</v>
      </c>
      <c r="H677" s="18"/>
      <c r="K677" s="75">
        <f>K678</f>
        <v>402.1</v>
      </c>
      <c r="L677" s="18"/>
      <c r="M677" s="83"/>
    </row>
    <row r="678" spans="1:13" ht="15.75">
      <c r="A678" s="36"/>
      <c r="B678" s="18" t="s">
        <v>180</v>
      </c>
      <c r="C678" s="22" t="s">
        <v>512</v>
      </c>
      <c r="D678" s="22" t="s">
        <v>126</v>
      </c>
      <c r="E678" s="22" t="s">
        <v>136</v>
      </c>
      <c r="F678" s="22"/>
      <c r="G678" s="75">
        <f>G679</f>
        <v>402.1</v>
      </c>
      <c r="H678" s="18"/>
      <c r="K678" s="75">
        <f>K679</f>
        <v>402.1</v>
      </c>
      <c r="L678" s="18"/>
      <c r="M678" s="83"/>
    </row>
    <row r="679" spans="1:13" ht="63">
      <c r="A679" s="36"/>
      <c r="B679" s="18" t="s">
        <v>170</v>
      </c>
      <c r="C679" s="22" t="s">
        <v>512</v>
      </c>
      <c r="D679" s="22" t="s">
        <v>126</v>
      </c>
      <c r="E679" s="22" t="s">
        <v>136</v>
      </c>
      <c r="F679" s="22" t="s">
        <v>168</v>
      </c>
      <c r="G679" s="75">
        <f>G680</f>
        <v>402.1</v>
      </c>
      <c r="H679" s="18"/>
      <c r="K679" s="75">
        <f>K680</f>
        <v>402.1</v>
      </c>
      <c r="L679" s="18"/>
      <c r="M679" s="83"/>
    </row>
    <row r="680" spans="1:13" ht="15.75">
      <c r="A680" s="36"/>
      <c r="B680" s="18" t="s">
        <v>171</v>
      </c>
      <c r="C680" s="22" t="s">
        <v>512</v>
      </c>
      <c r="D680" s="22" t="s">
        <v>126</v>
      </c>
      <c r="E680" s="22" t="s">
        <v>136</v>
      </c>
      <c r="F680" s="22" t="s">
        <v>169</v>
      </c>
      <c r="G680" s="75">
        <v>402.1</v>
      </c>
      <c r="H680" s="18"/>
      <c r="K680" s="75">
        <v>402.1</v>
      </c>
      <c r="L680" s="18"/>
      <c r="M680" s="83"/>
    </row>
    <row r="681" spans="1:13" ht="94.5">
      <c r="A681" s="36"/>
      <c r="B681" s="18" t="s">
        <v>513</v>
      </c>
      <c r="C681" s="22" t="s">
        <v>514</v>
      </c>
      <c r="D681" s="22" t="s">
        <v>126</v>
      </c>
      <c r="E681" s="22" t="s">
        <v>136</v>
      </c>
      <c r="F681" s="22"/>
      <c r="G681" s="75">
        <f>G682</f>
        <v>402</v>
      </c>
      <c r="H681" s="18"/>
      <c r="K681" s="75">
        <f>K682</f>
        <v>402</v>
      </c>
      <c r="L681" s="18"/>
      <c r="M681" s="83"/>
    </row>
    <row r="682" spans="1:13" ht="15.75">
      <c r="A682" s="36"/>
      <c r="B682" s="18" t="s">
        <v>180</v>
      </c>
      <c r="C682" s="22" t="s">
        <v>514</v>
      </c>
      <c r="D682" s="22" t="s">
        <v>126</v>
      </c>
      <c r="E682" s="22" t="s">
        <v>136</v>
      </c>
      <c r="F682" s="22"/>
      <c r="G682" s="75">
        <f>G683</f>
        <v>402</v>
      </c>
      <c r="H682" s="18"/>
      <c r="K682" s="75">
        <f>K683</f>
        <v>402</v>
      </c>
      <c r="L682" s="18"/>
      <c r="M682" s="83"/>
    </row>
    <row r="683" spans="1:13" ht="63">
      <c r="A683" s="36"/>
      <c r="B683" s="18" t="s">
        <v>170</v>
      </c>
      <c r="C683" s="22" t="s">
        <v>514</v>
      </c>
      <c r="D683" s="22" t="s">
        <v>126</v>
      </c>
      <c r="E683" s="22" t="s">
        <v>136</v>
      </c>
      <c r="F683" s="22" t="s">
        <v>168</v>
      </c>
      <c r="G683" s="75">
        <f>G684</f>
        <v>402</v>
      </c>
      <c r="H683" s="18"/>
      <c r="K683" s="75">
        <f>K684</f>
        <v>402</v>
      </c>
      <c r="L683" s="18"/>
      <c r="M683" s="83"/>
    </row>
    <row r="684" spans="1:13" ht="15.75">
      <c r="A684" s="36"/>
      <c r="B684" s="18" t="s">
        <v>171</v>
      </c>
      <c r="C684" s="22" t="s">
        <v>514</v>
      </c>
      <c r="D684" s="22" t="s">
        <v>126</v>
      </c>
      <c r="E684" s="22" t="s">
        <v>136</v>
      </c>
      <c r="F684" s="22" t="s">
        <v>169</v>
      </c>
      <c r="G684" s="75">
        <f>402</f>
        <v>402</v>
      </c>
      <c r="H684" s="18"/>
      <c r="K684" s="75">
        <f>402</f>
        <v>402</v>
      </c>
      <c r="L684" s="18"/>
      <c r="M684" s="83"/>
    </row>
    <row r="685" spans="1:13" ht="94.5">
      <c r="A685" s="36"/>
      <c r="B685" s="18" t="s">
        <v>515</v>
      </c>
      <c r="C685" s="22" t="s">
        <v>516</v>
      </c>
      <c r="D685" s="22" t="s">
        <v>126</v>
      </c>
      <c r="E685" s="22" t="s">
        <v>136</v>
      </c>
      <c r="F685" s="22"/>
      <c r="G685" s="75">
        <f>G686</f>
        <v>402</v>
      </c>
      <c r="H685" s="18"/>
      <c r="K685" s="75">
        <f>K686</f>
        <v>402</v>
      </c>
      <c r="L685" s="18"/>
      <c r="M685" s="83"/>
    </row>
    <row r="686" spans="1:13" ht="15.75">
      <c r="A686" s="36"/>
      <c r="B686" s="18" t="s">
        <v>180</v>
      </c>
      <c r="C686" s="22" t="s">
        <v>516</v>
      </c>
      <c r="D686" s="22" t="s">
        <v>126</v>
      </c>
      <c r="E686" s="22" t="s">
        <v>136</v>
      </c>
      <c r="F686" s="22"/>
      <c r="G686" s="75">
        <f>G687</f>
        <v>402</v>
      </c>
      <c r="H686" s="18"/>
      <c r="K686" s="75">
        <f>K687</f>
        <v>402</v>
      </c>
      <c r="L686" s="18"/>
      <c r="M686" s="83"/>
    </row>
    <row r="687" spans="1:13" ht="63">
      <c r="A687" s="36"/>
      <c r="B687" s="18" t="s">
        <v>170</v>
      </c>
      <c r="C687" s="22" t="s">
        <v>516</v>
      </c>
      <c r="D687" s="22" t="s">
        <v>126</v>
      </c>
      <c r="E687" s="22" t="s">
        <v>136</v>
      </c>
      <c r="F687" s="22" t="s">
        <v>168</v>
      </c>
      <c r="G687" s="75">
        <f>G688</f>
        <v>402</v>
      </c>
      <c r="H687" s="18"/>
      <c r="K687" s="75">
        <f>K688</f>
        <v>402</v>
      </c>
      <c r="L687" s="18"/>
      <c r="M687" s="83"/>
    </row>
    <row r="688" spans="1:13" ht="15.75">
      <c r="A688" s="36"/>
      <c r="B688" s="18" t="s">
        <v>171</v>
      </c>
      <c r="C688" s="22" t="s">
        <v>516</v>
      </c>
      <c r="D688" s="22" t="s">
        <v>126</v>
      </c>
      <c r="E688" s="22" t="s">
        <v>136</v>
      </c>
      <c r="F688" s="22" t="s">
        <v>169</v>
      </c>
      <c r="G688" s="75">
        <f>402</f>
        <v>402</v>
      </c>
      <c r="H688" s="18"/>
      <c r="K688" s="75">
        <f>402</f>
        <v>402</v>
      </c>
      <c r="L688" s="18"/>
      <c r="M688" s="83"/>
    </row>
    <row r="689" spans="1:13" ht="31.5">
      <c r="A689" s="36"/>
      <c r="B689" s="37" t="s">
        <v>17</v>
      </c>
      <c r="C689" s="22" t="s">
        <v>287</v>
      </c>
      <c r="D689" s="22" t="s">
        <v>126</v>
      </c>
      <c r="E689" s="22" t="s">
        <v>136</v>
      </c>
      <c r="F689" s="22"/>
      <c r="G689" s="21">
        <f>G690+G700+G703</f>
        <v>13755.7</v>
      </c>
      <c r="H689" s="18"/>
      <c r="K689" s="21">
        <f>K690+K700+K703</f>
        <v>12951.5</v>
      </c>
      <c r="L689" s="18"/>
      <c r="M689" s="83"/>
    </row>
    <row r="690" spans="1:13" ht="15.75">
      <c r="A690" s="36"/>
      <c r="B690" s="18" t="s">
        <v>180</v>
      </c>
      <c r="C690" s="22" t="s">
        <v>292</v>
      </c>
      <c r="D690" s="22" t="s">
        <v>126</v>
      </c>
      <c r="E690" s="22" t="s">
        <v>136</v>
      </c>
      <c r="F690" s="22"/>
      <c r="G690" s="21">
        <f>G694+G697+G691</f>
        <v>5170.2</v>
      </c>
      <c r="H690" s="18"/>
      <c r="K690" s="21">
        <f>K694+K697+K691</f>
        <v>5170.2</v>
      </c>
      <c r="L690" s="18"/>
      <c r="M690" s="83"/>
    </row>
    <row r="691" spans="1:13" ht="15.75">
      <c r="A691" s="36"/>
      <c r="B691" s="18" t="s">
        <v>181</v>
      </c>
      <c r="C691" s="22" t="s">
        <v>289</v>
      </c>
      <c r="D691" s="22" t="s">
        <v>126</v>
      </c>
      <c r="E691" s="22" t="s">
        <v>136</v>
      </c>
      <c r="F691" s="22"/>
      <c r="G691" s="21">
        <f>G692</f>
        <v>549.1999999999999</v>
      </c>
      <c r="H691" s="18"/>
      <c r="K691" s="21">
        <f>K692</f>
        <v>549.1999999999999</v>
      </c>
      <c r="L691" s="18"/>
      <c r="M691" s="83"/>
    </row>
    <row r="692" spans="1:13" ht="63">
      <c r="A692" s="36"/>
      <c r="B692" s="18" t="s">
        <v>170</v>
      </c>
      <c r="C692" s="22" t="s">
        <v>289</v>
      </c>
      <c r="D692" s="22" t="s">
        <v>126</v>
      </c>
      <c r="E692" s="22" t="s">
        <v>136</v>
      </c>
      <c r="F692" s="22" t="s">
        <v>168</v>
      </c>
      <c r="G692" s="21">
        <f>G693</f>
        <v>549.1999999999999</v>
      </c>
      <c r="H692" s="18"/>
      <c r="K692" s="21">
        <f>K693</f>
        <v>549.1999999999999</v>
      </c>
      <c r="L692" s="18"/>
      <c r="M692" s="83"/>
    </row>
    <row r="693" spans="1:13" ht="15.75">
      <c r="A693" s="36"/>
      <c r="B693" s="18" t="s">
        <v>171</v>
      </c>
      <c r="C693" s="22" t="s">
        <v>289</v>
      </c>
      <c r="D693" s="22" t="s">
        <v>126</v>
      </c>
      <c r="E693" s="22" t="s">
        <v>136</v>
      </c>
      <c r="F693" s="22" t="s">
        <v>169</v>
      </c>
      <c r="G693" s="21">
        <f>455.4+93.8</f>
        <v>549.1999999999999</v>
      </c>
      <c r="H693" s="18"/>
      <c r="K693" s="21">
        <f>455.4+93.8</f>
        <v>549.1999999999999</v>
      </c>
      <c r="L693" s="18"/>
      <c r="M693" s="83"/>
    </row>
    <row r="694" spans="1:13" ht="15.75">
      <c r="A694" s="36"/>
      <c r="B694" s="18" t="s">
        <v>182</v>
      </c>
      <c r="C694" s="22" t="s">
        <v>290</v>
      </c>
      <c r="D694" s="22" t="s">
        <v>126</v>
      </c>
      <c r="E694" s="22" t="s">
        <v>136</v>
      </c>
      <c r="F694" s="22"/>
      <c r="G694" s="21">
        <f>G695</f>
        <v>3843.4</v>
      </c>
      <c r="H694" s="18"/>
      <c r="K694" s="21">
        <f>K695</f>
        <v>3843.4</v>
      </c>
      <c r="L694" s="18"/>
      <c r="M694" s="83"/>
    </row>
    <row r="695" spans="1:13" ht="63">
      <c r="A695" s="36"/>
      <c r="B695" s="18" t="s">
        <v>170</v>
      </c>
      <c r="C695" s="22" t="s">
        <v>290</v>
      </c>
      <c r="D695" s="22" t="s">
        <v>126</v>
      </c>
      <c r="E695" s="22" t="s">
        <v>136</v>
      </c>
      <c r="F695" s="22" t="s">
        <v>168</v>
      </c>
      <c r="G695" s="21">
        <f>G696</f>
        <v>3843.4</v>
      </c>
      <c r="H695" s="18"/>
      <c r="K695" s="21">
        <f>K696</f>
        <v>3843.4</v>
      </c>
      <c r="L695" s="18"/>
      <c r="M695" s="83"/>
    </row>
    <row r="696" spans="1:13" ht="15.75">
      <c r="A696" s="36"/>
      <c r="B696" s="18" t="s">
        <v>171</v>
      </c>
      <c r="C696" s="22" t="s">
        <v>290</v>
      </c>
      <c r="D696" s="22" t="s">
        <v>126</v>
      </c>
      <c r="E696" s="22" t="s">
        <v>136</v>
      </c>
      <c r="F696" s="22" t="s">
        <v>169</v>
      </c>
      <c r="G696" s="21">
        <f>4556.4-1000-270.6+453.3+104.3</f>
        <v>3843.4</v>
      </c>
      <c r="H696" s="18"/>
      <c r="K696" s="21">
        <f>4556.4-1000-270.6+453.3+104.3</f>
        <v>3843.4</v>
      </c>
      <c r="L696" s="18"/>
      <c r="M696" s="83"/>
    </row>
    <row r="697" spans="1:13" ht="31.5">
      <c r="A697" s="36"/>
      <c r="B697" s="18" t="s">
        <v>183</v>
      </c>
      <c r="C697" s="22" t="s">
        <v>291</v>
      </c>
      <c r="D697" s="22" t="s">
        <v>126</v>
      </c>
      <c r="E697" s="22" t="s">
        <v>136</v>
      </c>
      <c r="F697" s="22"/>
      <c r="G697" s="21">
        <f>G698</f>
        <v>777.6</v>
      </c>
      <c r="H697" s="18"/>
      <c r="K697" s="21">
        <f>K698</f>
        <v>777.6</v>
      </c>
      <c r="L697" s="18"/>
      <c r="M697" s="83"/>
    </row>
    <row r="698" spans="1:13" ht="15.75">
      <c r="A698" s="36"/>
      <c r="B698" s="18" t="s">
        <v>159</v>
      </c>
      <c r="C698" s="22" t="s">
        <v>291</v>
      </c>
      <c r="D698" s="22" t="s">
        <v>126</v>
      </c>
      <c r="E698" s="22" t="s">
        <v>136</v>
      </c>
      <c r="F698" s="22" t="s">
        <v>158</v>
      </c>
      <c r="G698" s="21">
        <f>G699</f>
        <v>777.6</v>
      </c>
      <c r="H698" s="18"/>
      <c r="K698" s="21">
        <f>K699</f>
        <v>777.6</v>
      </c>
      <c r="L698" s="18"/>
      <c r="M698" s="83"/>
    </row>
    <row r="699" spans="1:13" ht="31.5">
      <c r="A699" s="36"/>
      <c r="B699" s="18" t="s">
        <v>165</v>
      </c>
      <c r="C699" s="22" t="s">
        <v>291</v>
      </c>
      <c r="D699" s="22" t="s">
        <v>126</v>
      </c>
      <c r="E699" s="22" t="s">
        <v>136</v>
      </c>
      <c r="F699" s="22" t="s">
        <v>164</v>
      </c>
      <c r="G699" s="21">
        <f>1108.7-162-169.1</f>
        <v>777.6</v>
      </c>
      <c r="H699" s="18"/>
      <c r="K699" s="21">
        <f>1108.7-162-169.1</f>
        <v>777.6</v>
      </c>
      <c r="L699" s="18"/>
      <c r="M699" s="83"/>
    </row>
    <row r="700" spans="1:13" ht="31.5">
      <c r="A700" s="36"/>
      <c r="B700" s="18" t="s">
        <v>363</v>
      </c>
      <c r="C700" s="22" t="s">
        <v>18</v>
      </c>
      <c r="D700" s="22" t="s">
        <v>126</v>
      </c>
      <c r="E700" s="22" t="s">
        <v>136</v>
      </c>
      <c r="F700" s="22"/>
      <c r="G700" s="21">
        <f>G701</f>
        <v>2613.2999999999997</v>
      </c>
      <c r="H700" s="18"/>
      <c r="K700" s="21">
        <f>K701</f>
        <v>2613.2999999999997</v>
      </c>
      <c r="L700" s="18"/>
      <c r="M700" s="83"/>
    </row>
    <row r="701" spans="1:13" ht="63">
      <c r="A701" s="36"/>
      <c r="B701" s="18" t="s">
        <v>170</v>
      </c>
      <c r="C701" s="22" t="s">
        <v>18</v>
      </c>
      <c r="D701" s="22" t="s">
        <v>126</v>
      </c>
      <c r="E701" s="22" t="s">
        <v>136</v>
      </c>
      <c r="F701" s="22" t="s">
        <v>168</v>
      </c>
      <c r="G701" s="21">
        <f>G702</f>
        <v>2613.2999999999997</v>
      </c>
      <c r="H701" s="18"/>
      <c r="K701" s="21">
        <f>K702</f>
        <v>2613.2999999999997</v>
      </c>
      <c r="L701" s="18"/>
      <c r="M701" s="83"/>
    </row>
    <row r="702" spans="1:13" ht="15.75">
      <c r="A702" s="36"/>
      <c r="B702" s="18" t="s">
        <v>171</v>
      </c>
      <c r="C702" s="22" t="s">
        <v>18</v>
      </c>
      <c r="D702" s="22" t="s">
        <v>126</v>
      </c>
      <c r="E702" s="22" t="s">
        <v>136</v>
      </c>
      <c r="F702" s="22" t="s">
        <v>169</v>
      </c>
      <c r="G702" s="21">
        <f>2202.3+270.6+44.7+95.7</f>
        <v>2613.2999999999997</v>
      </c>
      <c r="H702" s="18"/>
      <c r="K702" s="21">
        <f>2202.3+270.6+44.7+95.7</f>
        <v>2613.2999999999997</v>
      </c>
      <c r="L702" s="18"/>
      <c r="M702" s="83"/>
    </row>
    <row r="703" spans="1:13" ht="69" customHeight="1">
      <c r="A703" s="36"/>
      <c r="B703" s="18" t="s">
        <v>446</v>
      </c>
      <c r="C703" s="22" t="s">
        <v>447</v>
      </c>
      <c r="D703" s="22" t="s">
        <v>126</v>
      </c>
      <c r="E703" s="22" t="s">
        <v>136</v>
      </c>
      <c r="F703" s="22"/>
      <c r="G703" s="21">
        <f>G704+G707</f>
        <v>5972.200000000001</v>
      </c>
      <c r="H703" s="18"/>
      <c r="K703" s="21">
        <f>K704+K707</f>
        <v>5168</v>
      </c>
      <c r="L703" s="18"/>
      <c r="M703" s="83"/>
    </row>
    <row r="704" spans="1:13" ht="15.75">
      <c r="A704" s="36"/>
      <c r="B704" s="18" t="s">
        <v>182</v>
      </c>
      <c r="C704" s="22" t="s">
        <v>447</v>
      </c>
      <c r="D704" s="22" t="s">
        <v>126</v>
      </c>
      <c r="E704" s="22" t="s">
        <v>136</v>
      </c>
      <c r="F704" s="22"/>
      <c r="G704" s="21">
        <f>G705</f>
        <v>5469.6</v>
      </c>
      <c r="H704" s="18"/>
      <c r="K704" s="21">
        <f>K705</f>
        <v>4799.5</v>
      </c>
      <c r="L704" s="18"/>
      <c r="M704" s="83"/>
    </row>
    <row r="705" spans="1:13" ht="63">
      <c r="A705" s="36"/>
      <c r="B705" s="18" t="s">
        <v>170</v>
      </c>
      <c r="C705" s="22" t="s">
        <v>447</v>
      </c>
      <c r="D705" s="22" t="s">
        <v>126</v>
      </c>
      <c r="E705" s="22" t="s">
        <v>136</v>
      </c>
      <c r="F705" s="22" t="s">
        <v>168</v>
      </c>
      <c r="G705" s="21">
        <f>G706</f>
        <v>5469.6</v>
      </c>
      <c r="H705" s="18"/>
      <c r="K705" s="21">
        <f>K706</f>
        <v>4799.5</v>
      </c>
      <c r="L705" s="18"/>
      <c r="M705" s="83"/>
    </row>
    <row r="706" spans="1:13" ht="15.75">
      <c r="A706" s="36"/>
      <c r="B706" s="18" t="s">
        <v>171</v>
      </c>
      <c r="C706" s="22" t="s">
        <v>447</v>
      </c>
      <c r="D706" s="22" t="s">
        <v>126</v>
      </c>
      <c r="E706" s="22" t="s">
        <v>136</v>
      </c>
      <c r="F706" s="22" t="s">
        <v>169</v>
      </c>
      <c r="G706" s="21">
        <f>G720+G713+G724+G738+G745+G752+G759+G766+G773+G731</f>
        <v>5469.6</v>
      </c>
      <c r="H706" s="18"/>
      <c r="K706" s="21">
        <f>K720+K713+K724+K738+K745+K752+K759+K766+K773+K731</f>
        <v>4799.5</v>
      </c>
      <c r="L706" s="18"/>
      <c r="M706" s="83"/>
    </row>
    <row r="707" spans="1:13" ht="31.5">
      <c r="A707" s="36"/>
      <c r="B707" s="18" t="s">
        <v>183</v>
      </c>
      <c r="C707" s="22" t="s">
        <v>447</v>
      </c>
      <c r="D707" s="22" t="s">
        <v>126</v>
      </c>
      <c r="E707" s="22" t="s">
        <v>136</v>
      </c>
      <c r="F707" s="22"/>
      <c r="G707" s="21">
        <f>G708</f>
        <v>502.6</v>
      </c>
      <c r="H707" s="18"/>
      <c r="K707" s="21">
        <f>K708</f>
        <v>368.5</v>
      </c>
      <c r="L707" s="18"/>
      <c r="M707" s="83"/>
    </row>
    <row r="708" spans="1:13" ht="15.75">
      <c r="A708" s="36"/>
      <c r="B708" s="18" t="s">
        <v>159</v>
      </c>
      <c r="C708" s="22" t="s">
        <v>447</v>
      </c>
      <c r="D708" s="22" t="s">
        <v>126</v>
      </c>
      <c r="E708" s="22" t="s">
        <v>136</v>
      </c>
      <c r="F708" s="22" t="s">
        <v>158</v>
      </c>
      <c r="G708" s="21">
        <f>G709</f>
        <v>502.6</v>
      </c>
      <c r="H708" s="18"/>
      <c r="K708" s="21">
        <f>K709</f>
        <v>368.5</v>
      </c>
      <c r="L708" s="18"/>
      <c r="M708" s="83"/>
    </row>
    <row r="709" spans="1:13" ht="31.5">
      <c r="A709" s="36"/>
      <c r="B709" s="18" t="s">
        <v>165</v>
      </c>
      <c r="C709" s="22" t="s">
        <v>447</v>
      </c>
      <c r="D709" s="22" t="s">
        <v>126</v>
      </c>
      <c r="E709" s="22" t="s">
        <v>136</v>
      </c>
      <c r="F709" s="22" t="s">
        <v>164</v>
      </c>
      <c r="G709" s="21">
        <f>G716+G727+G741+G748+G755+G762+G769+G776+G734</f>
        <v>502.6</v>
      </c>
      <c r="H709" s="18"/>
      <c r="K709" s="21">
        <f>K716+K727+K741+K748+K755+K762+K769+K776+K734</f>
        <v>368.5</v>
      </c>
      <c r="L709" s="18"/>
      <c r="M709" s="83"/>
    </row>
    <row r="710" spans="1:13" ht="78.75">
      <c r="A710" s="36"/>
      <c r="B710" s="18" t="s">
        <v>472</v>
      </c>
      <c r="C710" s="22" t="s">
        <v>473</v>
      </c>
      <c r="D710" s="22" t="s">
        <v>126</v>
      </c>
      <c r="E710" s="22" t="s">
        <v>136</v>
      </c>
      <c r="F710" s="22"/>
      <c r="G710" s="75">
        <f>G711+G714</f>
        <v>532.2</v>
      </c>
      <c r="H710" s="18"/>
      <c r="K710" s="75">
        <f>K711+K714</f>
        <v>532.2</v>
      </c>
      <c r="L710" s="18"/>
      <c r="M710" s="83"/>
    </row>
    <row r="711" spans="1:13" ht="15.75">
      <c r="A711" s="36"/>
      <c r="B711" s="18" t="s">
        <v>182</v>
      </c>
      <c r="C711" s="22" t="s">
        <v>473</v>
      </c>
      <c r="D711" s="22" t="s">
        <v>126</v>
      </c>
      <c r="E711" s="22" t="s">
        <v>136</v>
      </c>
      <c r="F711" s="22"/>
      <c r="G711" s="75">
        <f>G712</f>
        <v>443.5</v>
      </c>
      <c r="H711" s="18"/>
      <c r="K711" s="75">
        <f>K712</f>
        <v>443.5</v>
      </c>
      <c r="L711" s="18"/>
      <c r="M711" s="83"/>
    </row>
    <row r="712" spans="1:13" ht="63">
      <c r="A712" s="36"/>
      <c r="B712" s="18" t="s">
        <v>170</v>
      </c>
      <c r="C712" s="22" t="s">
        <v>473</v>
      </c>
      <c r="D712" s="22" t="s">
        <v>126</v>
      </c>
      <c r="E712" s="22" t="s">
        <v>136</v>
      </c>
      <c r="F712" s="22" t="s">
        <v>168</v>
      </c>
      <c r="G712" s="75">
        <f>G713</f>
        <v>443.5</v>
      </c>
      <c r="H712" s="18"/>
      <c r="K712" s="75">
        <f>K713</f>
        <v>443.5</v>
      </c>
      <c r="L712" s="18"/>
      <c r="M712" s="83"/>
    </row>
    <row r="713" spans="1:13" ht="15.75">
      <c r="A713" s="36"/>
      <c r="B713" s="18" t="s">
        <v>171</v>
      </c>
      <c r="C713" s="22" t="s">
        <v>473</v>
      </c>
      <c r="D713" s="22" t="s">
        <v>126</v>
      </c>
      <c r="E713" s="22" t="s">
        <v>136</v>
      </c>
      <c r="F713" s="22" t="s">
        <v>169</v>
      </c>
      <c r="G713" s="75">
        <f>443.5</f>
        <v>443.5</v>
      </c>
      <c r="H713" s="18"/>
      <c r="K713" s="75">
        <f>443.5</f>
        <v>443.5</v>
      </c>
      <c r="L713" s="18"/>
      <c r="M713" s="83"/>
    </row>
    <row r="714" spans="1:13" ht="31.5">
      <c r="A714" s="36"/>
      <c r="B714" s="18" t="s">
        <v>183</v>
      </c>
      <c r="C714" s="22" t="s">
        <v>473</v>
      </c>
      <c r="D714" s="22" t="s">
        <v>126</v>
      </c>
      <c r="E714" s="22" t="s">
        <v>136</v>
      </c>
      <c r="F714" s="22"/>
      <c r="G714" s="75">
        <f>G715</f>
        <v>88.7</v>
      </c>
      <c r="H714" s="18"/>
      <c r="K714" s="75">
        <f>K715</f>
        <v>88.7</v>
      </c>
      <c r="L714" s="18"/>
      <c r="M714" s="83"/>
    </row>
    <row r="715" spans="1:13" ht="15.75">
      <c r="A715" s="36"/>
      <c r="B715" s="18" t="s">
        <v>159</v>
      </c>
      <c r="C715" s="22" t="s">
        <v>473</v>
      </c>
      <c r="D715" s="22" t="s">
        <v>126</v>
      </c>
      <c r="E715" s="22" t="s">
        <v>136</v>
      </c>
      <c r="F715" s="22" t="s">
        <v>158</v>
      </c>
      <c r="G715" s="75">
        <f>G716</f>
        <v>88.7</v>
      </c>
      <c r="H715" s="18"/>
      <c r="K715" s="75">
        <f>K716</f>
        <v>88.7</v>
      </c>
      <c r="L715" s="18"/>
      <c r="M715" s="83"/>
    </row>
    <row r="716" spans="1:13" ht="31.5">
      <c r="A716" s="36"/>
      <c r="B716" s="18" t="s">
        <v>165</v>
      </c>
      <c r="C716" s="22" t="s">
        <v>473</v>
      </c>
      <c r="D716" s="22" t="s">
        <v>126</v>
      </c>
      <c r="E716" s="22" t="s">
        <v>136</v>
      </c>
      <c r="F716" s="22" t="s">
        <v>164</v>
      </c>
      <c r="G716" s="75">
        <f>88.7</f>
        <v>88.7</v>
      </c>
      <c r="H716" s="18"/>
      <c r="K716" s="75">
        <f>88.7</f>
        <v>88.7</v>
      </c>
      <c r="L716" s="18"/>
      <c r="M716" s="83"/>
    </row>
    <row r="717" spans="1:13" ht="78.75">
      <c r="A717" s="36"/>
      <c r="B717" s="18" t="s">
        <v>448</v>
      </c>
      <c r="C717" s="22" t="s">
        <v>449</v>
      </c>
      <c r="D717" s="22" t="s">
        <v>126</v>
      </c>
      <c r="E717" s="22" t="s">
        <v>136</v>
      </c>
      <c r="F717" s="22"/>
      <c r="G717" s="21">
        <f>G718</f>
        <v>2956.6</v>
      </c>
      <c r="H717" s="18"/>
      <c r="K717" s="21">
        <f>K718</f>
        <v>2956.6</v>
      </c>
      <c r="L717" s="18"/>
      <c r="M717" s="83"/>
    </row>
    <row r="718" spans="1:13" ht="15.75">
      <c r="A718" s="36"/>
      <c r="B718" s="18" t="s">
        <v>182</v>
      </c>
      <c r="C718" s="22" t="s">
        <v>449</v>
      </c>
      <c r="D718" s="22" t="s">
        <v>126</v>
      </c>
      <c r="E718" s="22" t="s">
        <v>136</v>
      </c>
      <c r="F718" s="22"/>
      <c r="G718" s="21">
        <f>G719</f>
        <v>2956.6</v>
      </c>
      <c r="H718" s="18"/>
      <c r="K718" s="21">
        <f>K719</f>
        <v>2956.6</v>
      </c>
      <c r="L718" s="18"/>
      <c r="M718" s="83"/>
    </row>
    <row r="719" spans="1:13" ht="63">
      <c r="A719" s="36"/>
      <c r="B719" s="18" t="s">
        <v>170</v>
      </c>
      <c r="C719" s="22" t="s">
        <v>449</v>
      </c>
      <c r="D719" s="22" t="s">
        <v>126</v>
      </c>
      <c r="E719" s="22" t="s">
        <v>136</v>
      </c>
      <c r="F719" s="22" t="s">
        <v>168</v>
      </c>
      <c r="G719" s="21">
        <f>G720</f>
        <v>2956.6</v>
      </c>
      <c r="H719" s="18"/>
      <c r="K719" s="21">
        <f>K720</f>
        <v>2956.6</v>
      </c>
      <c r="L719" s="18"/>
      <c r="M719" s="83"/>
    </row>
    <row r="720" spans="1:13" ht="15.75">
      <c r="A720" s="36"/>
      <c r="B720" s="18" t="s">
        <v>171</v>
      </c>
      <c r="C720" s="22" t="s">
        <v>449</v>
      </c>
      <c r="D720" s="22" t="s">
        <v>126</v>
      </c>
      <c r="E720" s="22" t="s">
        <v>136</v>
      </c>
      <c r="F720" s="22" t="s">
        <v>169</v>
      </c>
      <c r="G720" s="21">
        <f>2956.6</f>
        <v>2956.6</v>
      </c>
      <c r="H720" s="18"/>
      <c r="K720" s="21">
        <f>2956.6</f>
        <v>2956.6</v>
      </c>
      <c r="L720" s="18"/>
      <c r="M720" s="83"/>
    </row>
    <row r="721" spans="1:13" ht="78.75">
      <c r="A721" s="36"/>
      <c r="B721" s="18" t="s">
        <v>474</v>
      </c>
      <c r="C721" s="22" t="s">
        <v>475</v>
      </c>
      <c r="D721" s="22" t="s">
        <v>126</v>
      </c>
      <c r="E721" s="22" t="s">
        <v>136</v>
      </c>
      <c r="F721" s="22"/>
      <c r="G721" s="75">
        <f>G722+G725</f>
        <v>189.2</v>
      </c>
      <c r="H721" s="18"/>
      <c r="K721" s="75">
        <f>K722+K725</f>
        <v>189.2</v>
      </c>
      <c r="L721" s="18"/>
      <c r="M721" s="83"/>
    </row>
    <row r="722" spans="1:13" ht="15.75">
      <c r="A722" s="36"/>
      <c r="B722" s="18" t="s">
        <v>182</v>
      </c>
      <c r="C722" s="22" t="s">
        <v>475</v>
      </c>
      <c r="D722" s="22" t="s">
        <v>126</v>
      </c>
      <c r="E722" s="22" t="s">
        <v>136</v>
      </c>
      <c r="F722" s="22"/>
      <c r="G722" s="75">
        <f>G723</f>
        <v>157.7</v>
      </c>
      <c r="H722" s="18"/>
      <c r="K722" s="75">
        <f>K723</f>
        <v>157.7</v>
      </c>
      <c r="L722" s="18"/>
      <c r="M722" s="83"/>
    </row>
    <row r="723" spans="1:13" ht="63">
      <c r="A723" s="36"/>
      <c r="B723" s="18" t="s">
        <v>170</v>
      </c>
      <c r="C723" s="22" t="s">
        <v>475</v>
      </c>
      <c r="D723" s="22" t="s">
        <v>126</v>
      </c>
      <c r="E723" s="22" t="s">
        <v>136</v>
      </c>
      <c r="F723" s="22" t="s">
        <v>168</v>
      </c>
      <c r="G723" s="75">
        <f>G724</f>
        <v>157.7</v>
      </c>
      <c r="H723" s="18"/>
      <c r="K723" s="75">
        <f>K724</f>
        <v>157.7</v>
      </c>
      <c r="L723" s="18"/>
      <c r="M723" s="83"/>
    </row>
    <row r="724" spans="1:13" ht="15.75">
      <c r="A724" s="36"/>
      <c r="B724" s="18" t="s">
        <v>171</v>
      </c>
      <c r="C724" s="22" t="s">
        <v>475</v>
      </c>
      <c r="D724" s="22" t="s">
        <v>126</v>
      </c>
      <c r="E724" s="22" t="s">
        <v>136</v>
      </c>
      <c r="F724" s="22" t="s">
        <v>169</v>
      </c>
      <c r="G724" s="75">
        <f>157.7</f>
        <v>157.7</v>
      </c>
      <c r="H724" s="18"/>
      <c r="K724" s="75">
        <f>157.7</f>
        <v>157.7</v>
      </c>
      <c r="L724" s="18"/>
      <c r="M724" s="83"/>
    </row>
    <row r="725" spans="1:13" ht="31.5">
      <c r="A725" s="36"/>
      <c r="B725" s="18" t="s">
        <v>183</v>
      </c>
      <c r="C725" s="22" t="s">
        <v>475</v>
      </c>
      <c r="D725" s="22" t="s">
        <v>126</v>
      </c>
      <c r="E725" s="22" t="s">
        <v>136</v>
      </c>
      <c r="F725" s="22"/>
      <c r="G725" s="75">
        <f>G726</f>
        <v>31.5</v>
      </c>
      <c r="H725" s="18"/>
      <c r="K725" s="75">
        <f>K726</f>
        <v>31.5</v>
      </c>
      <c r="L725" s="18"/>
      <c r="M725" s="83"/>
    </row>
    <row r="726" spans="1:13" ht="15.75">
      <c r="A726" s="36"/>
      <c r="B726" s="18" t="s">
        <v>159</v>
      </c>
      <c r="C726" s="22" t="s">
        <v>475</v>
      </c>
      <c r="D726" s="22" t="s">
        <v>126</v>
      </c>
      <c r="E726" s="22" t="s">
        <v>136</v>
      </c>
      <c r="F726" s="22" t="s">
        <v>158</v>
      </c>
      <c r="G726" s="75">
        <f>G727</f>
        <v>31.5</v>
      </c>
      <c r="H726" s="18"/>
      <c r="K726" s="75">
        <f>K727</f>
        <v>31.5</v>
      </c>
      <c r="L726" s="18"/>
      <c r="M726" s="83"/>
    </row>
    <row r="727" spans="1:13" ht="31.5">
      <c r="A727" s="36"/>
      <c r="B727" s="18" t="s">
        <v>165</v>
      </c>
      <c r="C727" s="22" t="s">
        <v>475</v>
      </c>
      <c r="D727" s="22" t="s">
        <v>126</v>
      </c>
      <c r="E727" s="22" t="s">
        <v>136</v>
      </c>
      <c r="F727" s="22" t="s">
        <v>164</v>
      </c>
      <c r="G727" s="75">
        <f>31.5</f>
        <v>31.5</v>
      </c>
      <c r="H727" s="18"/>
      <c r="K727" s="75">
        <f>31.5</f>
        <v>31.5</v>
      </c>
      <c r="L727" s="18"/>
      <c r="M727" s="83"/>
    </row>
    <row r="728" spans="1:13" ht="78.75">
      <c r="A728" s="36"/>
      <c r="B728" s="18" t="s">
        <v>676</v>
      </c>
      <c r="C728" s="22" t="s">
        <v>677</v>
      </c>
      <c r="D728" s="22" t="s">
        <v>126</v>
      </c>
      <c r="E728" s="22" t="s">
        <v>136</v>
      </c>
      <c r="F728" s="22"/>
      <c r="G728" s="75">
        <f>G729+G732</f>
        <v>804.2</v>
      </c>
      <c r="H728" s="18"/>
      <c r="K728" s="75">
        <f>K729+K732</f>
        <v>0</v>
      </c>
      <c r="L728" s="18"/>
      <c r="M728" s="83"/>
    </row>
    <row r="729" spans="1:13" ht="15.75">
      <c r="A729" s="36"/>
      <c r="B729" s="18" t="s">
        <v>182</v>
      </c>
      <c r="C729" s="22" t="s">
        <v>677</v>
      </c>
      <c r="D729" s="22" t="s">
        <v>126</v>
      </c>
      <c r="E729" s="22" t="s">
        <v>136</v>
      </c>
      <c r="F729" s="22"/>
      <c r="G729" s="75">
        <f>G730</f>
        <v>670.1</v>
      </c>
      <c r="H729" s="18"/>
      <c r="K729" s="75">
        <f>K730</f>
        <v>0</v>
      </c>
      <c r="L729" s="18"/>
      <c r="M729" s="83"/>
    </row>
    <row r="730" spans="1:13" ht="63">
      <c r="A730" s="36"/>
      <c r="B730" s="18" t="s">
        <v>170</v>
      </c>
      <c r="C730" s="22" t="s">
        <v>677</v>
      </c>
      <c r="D730" s="22" t="s">
        <v>126</v>
      </c>
      <c r="E730" s="22" t="s">
        <v>136</v>
      </c>
      <c r="F730" s="22" t="s">
        <v>168</v>
      </c>
      <c r="G730" s="75">
        <f>G731</f>
        <v>670.1</v>
      </c>
      <c r="H730" s="18"/>
      <c r="K730" s="75">
        <f>K731</f>
        <v>0</v>
      </c>
      <c r="L730" s="18"/>
      <c r="M730" s="83"/>
    </row>
    <row r="731" spans="1:13" ht="15.75">
      <c r="A731" s="36"/>
      <c r="B731" s="18" t="s">
        <v>171</v>
      </c>
      <c r="C731" s="22" t="s">
        <v>677</v>
      </c>
      <c r="D731" s="22" t="s">
        <v>126</v>
      </c>
      <c r="E731" s="22" t="s">
        <v>136</v>
      </c>
      <c r="F731" s="22" t="s">
        <v>169</v>
      </c>
      <c r="G731" s="75">
        <f>670.1</f>
        <v>670.1</v>
      </c>
      <c r="H731" s="18"/>
      <c r="K731" s="75">
        <v>0</v>
      </c>
      <c r="L731" s="18"/>
      <c r="M731" s="83"/>
    </row>
    <row r="732" spans="1:13" ht="31.5">
      <c r="A732" s="36"/>
      <c r="B732" s="18" t="s">
        <v>183</v>
      </c>
      <c r="C732" s="22" t="s">
        <v>677</v>
      </c>
      <c r="D732" s="22" t="s">
        <v>126</v>
      </c>
      <c r="E732" s="22" t="s">
        <v>136</v>
      </c>
      <c r="F732" s="22"/>
      <c r="G732" s="75">
        <f>G733</f>
        <v>134.1</v>
      </c>
      <c r="H732" s="18"/>
      <c r="K732" s="75">
        <f>K733</f>
        <v>0</v>
      </c>
      <c r="L732" s="18"/>
      <c r="M732" s="83"/>
    </row>
    <row r="733" spans="1:13" ht="15.75">
      <c r="A733" s="36"/>
      <c r="B733" s="18" t="s">
        <v>159</v>
      </c>
      <c r="C733" s="22" t="s">
        <v>677</v>
      </c>
      <c r="D733" s="22" t="s">
        <v>126</v>
      </c>
      <c r="E733" s="22" t="s">
        <v>136</v>
      </c>
      <c r="F733" s="22" t="s">
        <v>158</v>
      </c>
      <c r="G733" s="75">
        <f>G734</f>
        <v>134.1</v>
      </c>
      <c r="H733" s="18"/>
      <c r="I733" s="18"/>
      <c r="K733" s="75">
        <f>K734</f>
        <v>0</v>
      </c>
      <c r="L733" s="18"/>
      <c r="M733" s="83"/>
    </row>
    <row r="734" spans="1:13" ht="31.5">
      <c r="A734" s="36"/>
      <c r="B734" s="18" t="s">
        <v>165</v>
      </c>
      <c r="C734" s="22" t="s">
        <v>677</v>
      </c>
      <c r="D734" s="22" t="s">
        <v>126</v>
      </c>
      <c r="E734" s="22" t="s">
        <v>136</v>
      </c>
      <c r="F734" s="22" t="s">
        <v>164</v>
      </c>
      <c r="G734" s="75">
        <f>134.1</f>
        <v>134.1</v>
      </c>
      <c r="H734" s="18"/>
      <c r="I734" s="18"/>
      <c r="K734" s="75">
        <v>0</v>
      </c>
      <c r="L734" s="18"/>
      <c r="M734" s="83"/>
    </row>
    <row r="735" spans="1:13" ht="78.75">
      <c r="A735" s="36"/>
      <c r="B735" s="18" t="s">
        <v>476</v>
      </c>
      <c r="C735" s="22" t="s">
        <v>477</v>
      </c>
      <c r="D735" s="22" t="s">
        <v>126</v>
      </c>
      <c r="E735" s="22" t="s">
        <v>136</v>
      </c>
      <c r="F735" s="22"/>
      <c r="G735" s="75">
        <f>G736+G739</f>
        <v>272</v>
      </c>
      <c r="H735" s="18"/>
      <c r="K735" s="75">
        <f>K736+K739</f>
        <v>272</v>
      </c>
      <c r="L735" s="18"/>
      <c r="M735" s="83"/>
    </row>
    <row r="736" spans="1:13" ht="15.75">
      <c r="A736" s="36"/>
      <c r="B736" s="18" t="s">
        <v>182</v>
      </c>
      <c r="C736" s="22" t="s">
        <v>477</v>
      </c>
      <c r="D736" s="22" t="s">
        <v>126</v>
      </c>
      <c r="E736" s="22" t="s">
        <v>136</v>
      </c>
      <c r="F736" s="22"/>
      <c r="G736" s="75">
        <f>G737</f>
        <v>226.7</v>
      </c>
      <c r="H736" s="18"/>
      <c r="K736" s="75">
        <f>K737</f>
        <v>226.7</v>
      </c>
      <c r="L736" s="18"/>
      <c r="M736" s="83"/>
    </row>
    <row r="737" spans="1:13" ht="63">
      <c r="A737" s="36"/>
      <c r="B737" s="18" t="s">
        <v>170</v>
      </c>
      <c r="C737" s="22" t="s">
        <v>477</v>
      </c>
      <c r="D737" s="22" t="s">
        <v>126</v>
      </c>
      <c r="E737" s="22" t="s">
        <v>136</v>
      </c>
      <c r="F737" s="22" t="s">
        <v>168</v>
      </c>
      <c r="G737" s="75">
        <f>G738</f>
        <v>226.7</v>
      </c>
      <c r="H737" s="18"/>
      <c r="K737" s="75">
        <f>K738</f>
        <v>226.7</v>
      </c>
      <c r="L737" s="18"/>
      <c r="M737" s="83"/>
    </row>
    <row r="738" spans="1:13" ht="15.75">
      <c r="A738" s="36"/>
      <c r="B738" s="18" t="s">
        <v>171</v>
      </c>
      <c r="C738" s="22" t="s">
        <v>477</v>
      </c>
      <c r="D738" s="22" t="s">
        <v>126</v>
      </c>
      <c r="E738" s="22" t="s">
        <v>136</v>
      </c>
      <c r="F738" s="22" t="s">
        <v>169</v>
      </c>
      <c r="G738" s="75">
        <f>226.7</f>
        <v>226.7</v>
      </c>
      <c r="H738" s="18"/>
      <c r="K738" s="75">
        <f>226.7</f>
        <v>226.7</v>
      </c>
      <c r="L738" s="18"/>
      <c r="M738" s="83"/>
    </row>
    <row r="739" spans="1:13" ht="31.5">
      <c r="A739" s="36"/>
      <c r="B739" s="18" t="s">
        <v>183</v>
      </c>
      <c r="C739" s="22" t="s">
        <v>477</v>
      </c>
      <c r="D739" s="22" t="s">
        <v>126</v>
      </c>
      <c r="E739" s="22" t="s">
        <v>136</v>
      </c>
      <c r="F739" s="22"/>
      <c r="G739" s="75">
        <f>G740</f>
        <v>45.3</v>
      </c>
      <c r="H739" s="18"/>
      <c r="K739" s="75">
        <f>K740</f>
        <v>45.3</v>
      </c>
      <c r="L739" s="18"/>
      <c r="M739" s="83"/>
    </row>
    <row r="740" spans="1:13" ht="15.75">
      <c r="A740" s="36"/>
      <c r="B740" s="18" t="s">
        <v>159</v>
      </c>
      <c r="C740" s="22" t="s">
        <v>477</v>
      </c>
      <c r="D740" s="22" t="s">
        <v>126</v>
      </c>
      <c r="E740" s="22" t="s">
        <v>136</v>
      </c>
      <c r="F740" s="22" t="s">
        <v>158</v>
      </c>
      <c r="G740" s="75">
        <f>G741</f>
        <v>45.3</v>
      </c>
      <c r="H740" s="18"/>
      <c r="K740" s="75">
        <f>K741</f>
        <v>45.3</v>
      </c>
      <c r="L740" s="18"/>
      <c r="M740" s="83"/>
    </row>
    <row r="741" spans="1:13" ht="31.5">
      <c r="A741" s="36"/>
      <c r="B741" s="18" t="s">
        <v>165</v>
      </c>
      <c r="C741" s="22" t="s">
        <v>477</v>
      </c>
      <c r="D741" s="22" t="s">
        <v>126</v>
      </c>
      <c r="E741" s="22" t="s">
        <v>136</v>
      </c>
      <c r="F741" s="22" t="s">
        <v>164</v>
      </c>
      <c r="G741" s="75">
        <f>45.3</f>
        <v>45.3</v>
      </c>
      <c r="H741" s="18"/>
      <c r="K741" s="75">
        <f>45.3</f>
        <v>45.3</v>
      </c>
      <c r="L741" s="18"/>
      <c r="M741" s="83"/>
    </row>
    <row r="742" spans="1:13" ht="78.75">
      <c r="A742" s="36"/>
      <c r="B742" s="18" t="s">
        <v>478</v>
      </c>
      <c r="C742" s="22" t="s">
        <v>479</v>
      </c>
      <c r="D742" s="22" t="s">
        <v>126</v>
      </c>
      <c r="E742" s="22" t="s">
        <v>136</v>
      </c>
      <c r="F742" s="22"/>
      <c r="G742" s="75">
        <f>G743+G746</f>
        <v>177.4</v>
      </c>
      <c r="H742" s="18"/>
      <c r="K742" s="75">
        <f>K743+K746</f>
        <v>177.4</v>
      </c>
      <c r="L742" s="18"/>
      <c r="M742" s="83"/>
    </row>
    <row r="743" spans="1:13" ht="15.75">
      <c r="A743" s="36"/>
      <c r="B743" s="18" t="s">
        <v>182</v>
      </c>
      <c r="C743" s="22" t="s">
        <v>479</v>
      </c>
      <c r="D743" s="22" t="s">
        <v>126</v>
      </c>
      <c r="E743" s="22" t="s">
        <v>136</v>
      </c>
      <c r="F743" s="22"/>
      <c r="G743" s="75">
        <f>G744</f>
        <v>147.8</v>
      </c>
      <c r="H743" s="18"/>
      <c r="K743" s="75">
        <f>K744</f>
        <v>147.8</v>
      </c>
      <c r="L743" s="18"/>
      <c r="M743" s="83"/>
    </row>
    <row r="744" spans="1:13" ht="63">
      <c r="A744" s="36"/>
      <c r="B744" s="18" t="s">
        <v>170</v>
      </c>
      <c r="C744" s="22" t="s">
        <v>479</v>
      </c>
      <c r="D744" s="22" t="s">
        <v>126</v>
      </c>
      <c r="E744" s="22" t="s">
        <v>136</v>
      </c>
      <c r="F744" s="22" t="s">
        <v>168</v>
      </c>
      <c r="G744" s="75">
        <f>G745</f>
        <v>147.8</v>
      </c>
      <c r="H744" s="18"/>
      <c r="K744" s="75">
        <f>K745</f>
        <v>147.8</v>
      </c>
      <c r="L744" s="18"/>
      <c r="M744" s="83"/>
    </row>
    <row r="745" spans="1:13" ht="15.75">
      <c r="A745" s="36"/>
      <c r="B745" s="18" t="s">
        <v>171</v>
      </c>
      <c r="C745" s="22" t="s">
        <v>479</v>
      </c>
      <c r="D745" s="22" t="s">
        <v>126</v>
      </c>
      <c r="E745" s="22" t="s">
        <v>136</v>
      </c>
      <c r="F745" s="22" t="s">
        <v>169</v>
      </c>
      <c r="G745" s="75">
        <f>147.8</f>
        <v>147.8</v>
      </c>
      <c r="H745" s="18"/>
      <c r="K745" s="75">
        <f>147.8</f>
        <v>147.8</v>
      </c>
      <c r="L745" s="18"/>
      <c r="M745" s="83"/>
    </row>
    <row r="746" spans="1:13" ht="31.5">
      <c r="A746" s="36"/>
      <c r="B746" s="18" t="s">
        <v>183</v>
      </c>
      <c r="C746" s="22" t="s">
        <v>479</v>
      </c>
      <c r="D746" s="22" t="s">
        <v>126</v>
      </c>
      <c r="E746" s="22" t="s">
        <v>136</v>
      </c>
      <c r="F746" s="22"/>
      <c r="G746" s="75">
        <f>G747</f>
        <v>29.6</v>
      </c>
      <c r="H746" s="18"/>
      <c r="K746" s="75">
        <f>K747</f>
        <v>29.6</v>
      </c>
      <c r="L746" s="18"/>
      <c r="M746" s="83"/>
    </row>
    <row r="747" spans="1:13" ht="15.75">
      <c r="A747" s="36"/>
      <c r="B747" s="18" t="s">
        <v>159</v>
      </c>
      <c r="C747" s="22" t="s">
        <v>479</v>
      </c>
      <c r="D747" s="22" t="s">
        <v>126</v>
      </c>
      <c r="E747" s="22" t="s">
        <v>136</v>
      </c>
      <c r="F747" s="22" t="s">
        <v>158</v>
      </c>
      <c r="G747" s="75">
        <f>G748</f>
        <v>29.6</v>
      </c>
      <c r="H747" s="18"/>
      <c r="K747" s="75">
        <f>K748</f>
        <v>29.6</v>
      </c>
      <c r="L747" s="18"/>
      <c r="M747" s="83"/>
    </row>
    <row r="748" spans="1:13" ht="31.5">
      <c r="A748" s="36"/>
      <c r="B748" s="18" t="s">
        <v>165</v>
      </c>
      <c r="C748" s="22" t="s">
        <v>479</v>
      </c>
      <c r="D748" s="22" t="s">
        <v>126</v>
      </c>
      <c r="E748" s="22" t="s">
        <v>136</v>
      </c>
      <c r="F748" s="22" t="s">
        <v>164</v>
      </c>
      <c r="G748" s="75">
        <f>29.6</f>
        <v>29.6</v>
      </c>
      <c r="H748" s="18"/>
      <c r="K748" s="75">
        <f>29.6</f>
        <v>29.6</v>
      </c>
      <c r="L748" s="18"/>
      <c r="M748" s="83"/>
    </row>
    <row r="749" spans="1:13" ht="78.75">
      <c r="A749" s="36"/>
      <c r="B749" s="18" t="s">
        <v>480</v>
      </c>
      <c r="C749" s="22" t="s">
        <v>481</v>
      </c>
      <c r="D749" s="22" t="s">
        <v>126</v>
      </c>
      <c r="E749" s="22" t="s">
        <v>136</v>
      </c>
      <c r="F749" s="22"/>
      <c r="G749" s="75">
        <f>G750+G753</f>
        <v>201</v>
      </c>
      <c r="H749" s="18"/>
      <c r="K749" s="75">
        <f>K750+K753</f>
        <v>201</v>
      </c>
      <c r="L749" s="18"/>
      <c r="M749" s="83"/>
    </row>
    <row r="750" spans="1:13" ht="15.75">
      <c r="A750" s="36"/>
      <c r="B750" s="18" t="s">
        <v>182</v>
      </c>
      <c r="C750" s="22" t="s">
        <v>481</v>
      </c>
      <c r="D750" s="22" t="s">
        <v>126</v>
      </c>
      <c r="E750" s="22" t="s">
        <v>136</v>
      </c>
      <c r="F750" s="22"/>
      <c r="G750" s="75">
        <f>G751</f>
        <v>167.5</v>
      </c>
      <c r="H750" s="18"/>
      <c r="K750" s="75">
        <f>K751</f>
        <v>167.5</v>
      </c>
      <c r="L750" s="18"/>
      <c r="M750" s="83"/>
    </row>
    <row r="751" spans="1:13" ht="63">
      <c r="A751" s="36"/>
      <c r="B751" s="18" t="s">
        <v>170</v>
      </c>
      <c r="C751" s="22" t="s">
        <v>481</v>
      </c>
      <c r="D751" s="22" t="s">
        <v>126</v>
      </c>
      <c r="E751" s="22" t="s">
        <v>136</v>
      </c>
      <c r="F751" s="22" t="s">
        <v>168</v>
      </c>
      <c r="G751" s="75">
        <f>G752</f>
        <v>167.5</v>
      </c>
      <c r="H751" s="18"/>
      <c r="K751" s="75">
        <f>K752</f>
        <v>167.5</v>
      </c>
      <c r="L751" s="18"/>
      <c r="M751" s="83"/>
    </row>
    <row r="752" spans="1:13" ht="15.75">
      <c r="A752" s="36"/>
      <c r="B752" s="18" t="s">
        <v>171</v>
      </c>
      <c r="C752" s="22" t="s">
        <v>481</v>
      </c>
      <c r="D752" s="22" t="s">
        <v>126</v>
      </c>
      <c r="E752" s="22" t="s">
        <v>136</v>
      </c>
      <c r="F752" s="22" t="s">
        <v>169</v>
      </c>
      <c r="G752" s="75">
        <f>167.5</f>
        <v>167.5</v>
      </c>
      <c r="H752" s="18"/>
      <c r="K752" s="75">
        <f>167.5</f>
        <v>167.5</v>
      </c>
      <c r="L752" s="18"/>
      <c r="M752" s="83"/>
    </row>
    <row r="753" spans="1:13" ht="31.5">
      <c r="A753" s="36"/>
      <c r="B753" s="18" t="s">
        <v>183</v>
      </c>
      <c r="C753" s="22" t="s">
        <v>481</v>
      </c>
      <c r="D753" s="22" t="s">
        <v>126</v>
      </c>
      <c r="E753" s="22" t="s">
        <v>136</v>
      </c>
      <c r="F753" s="22"/>
      <c r="G753" s="75">
        <f>G754</f>
        <v>33.5</v>
      </c>
      <c r="H753" s="18"/>
      <c r="K753" s="75">
        <f>K754</f>
        <v>33.5</v>
      </c>
      <c r="L753" s="18"/>
      <c r="M753" s="83"/>
    </row>
    <row r="754" spans="1:13" ht="15.75">
      <c r="A754" s="36"/>
      <c r="B754" s="18" t="s">
        <v>159</v>
      </c>
      <c r="C754" s="22" t="s">
        <v>481</v>
      </c>
      <c r="D754" s="22" t="s">
        <v>126</v>
      </c>
      <c r="E754" s="22" t="s">
        <v>136</v>
      </c>
      <c r="F754" s="22" t="s">
        <v>158</v>
      </c>
      <c r="G754" s="75">
        <f>G755</f>
        <v>33.5</v>
      </c>
      <c r="H754" s="18"/>
      <c r="K754" s="75">
        <f>K755</f>
        <v>33.5</v>
      </c>
      <c r="L754" s="18"/>
      <c r="M754" s="83"/>
    </row>
    <row r="755" spans="1:13" ht="31.5">
      <c r="A755" s="36"/>
      <c r="B755" s="18" t="s">
        <v>165</v>
      </c>
      <c r="C755" s="22" t="s">
        <v>481</v>
      </c>
      <c r="D755" s="22" t="s">
        <v>126</v>
      </c>
      <c r="E755" s="22" t="s">
        <v>136</v>
      </c>
      <c r="F755" s="22" t="s">
        <v>164</v>
      </c>
      <c r="G755" s="75">
        <f>33.5</f>
        <v>33.5</v>
      </c>
      <c r="H755" s="18"/>
      <c r="K755" s="75">
        <f>33.5</f>
        <v>33.5</v>
      </c>
      <c r="L755" s="18"/>
      <c r="M755" s="83"/>
    </row>
    <row r="756" spans="1:13" ht="78.75">
      <c r="A756" s="36"/>
      <c r="B756" s="18" t="s">
        <v>482</v>
      </c>
      <c r="C756" s="22" t="s">
        <v>483</v>
      </c>
      <c r="D756" s="22" t="s">
        <v>126</v>
      </c>
      <c r="E756" s="22" t="s">
        <v>136</v>
      </c>
      <c r="F756" s="22"/>
      <c r="G756" s="75">
        <f>G757+G760</f>
        <v>236.5</v>
      </c>
      <c r="H756" s="18"/>
      <c r="K756" s="75">
        <f>K757+K760</f>
        <v>236.5</v>
      </c>
      <c r="L756" s="18"/>
      <c r="M756" s="83"/>
    </row>
    <row r="757" spans="1:13" ht="15.75">
      <c r="A757" s="36"/>
      <c r="B757" s="18" t="s">
        <v>182</v>
      </c>
      <c r="C757" s="22" t="s">
        <v>483</v>
      </c>
      <c r="D757" s="22" t="s">
        <v>126</v>
      </c>
      <c r="E757" s="22" t="s">
        <v>136</v>
      </c>
      <c r="F757" s="22"/>
      <c r="G757" s="75">
        <f>G758</f>
        <v>197.1</v>
      </c>
      <c r="H757" s="18"/>
      <c r="K757" s="75">
        <f>K758</f>
        <v>197.1</v>
      </c>
      <c r="L757" s="18"/>
      <c r="M757" s="83"/>
    </row>
    <row r="758" spans="1:13" ht="63">
      <c r="A758" s="36"/>
      <c r="B758" s="18" t="s">
        <v>170</v>
      </c>
      <c r="C758" s="22" t="s">
        <v>483</v>
      </c>
      <c r="D758" s="22" t="s">
        <v>126</v>
      </c>
      <c r="E758" s="22" t="s">
        <v>136</v>
      </c>
      <c r="F758" s="22" t="s">
        <v>168</v>
      </c>
      <c r="G758" s="75">
        <f>G759</f>
        <v>197.1</v>
      </c>
      <c r="H758" s="18"/>
      <c r="K758" s="75">
        <f>K759</f>
        <v>197.1</v>
      </c>
      <c r="L758" s="18"/>
      <c r="M758" s="83"/>
    </row>
    <row r="759" spans="1:13" ht="15.75">
      <c r="A759" s="36"/>
      <c r="B759" s="18" t="s">
        <v>171</v>
      </c>
      <c r="C759" s="22" t="s">
        <v>483</v>
      </c>
      <c r="D759" s="22" t="s">
        <v>126</v>
      </c>
      <c r="E759" s="22" t="s">
        <v>136</v>
      </c>
      <c r="F759" s="22" t="s">
        <v>169</v>
      </c>
      <c r="G759" s="75">
        <f>197.1</f>
        <v>197.1</v>
      </c>
      <c r="H759" s="18"/>
      <c r="K759" s="75">
        <f>197.1</f>
        <v>197.1</v>
      </c>
      <c r="L759" s="18"/>
      <c r="M759" s="83"/>
    </row>
    <row r="760" spans="1:13" ht="31.5">
      <c r="A760" s="36"/>
      <c r="B760" s="18" t="s">
        <v>183</v>
      </c>
      <c r="C760" s="22" t="s">
        <v>483</v>
      </c>
      <c r="D760" s="22" t="s">
        <v>126</v>
      </c>
      <c r="E760" s="22" t="s">
        <v>136</v>
      </c>
      <c r="F760" s="22"/>
      <c r="G760" s="75">
        <f>G761</f>
        <v>39.4</v>
      </c>
      <c r="H760" s="18"/>
      <c r="K760" s="75">
        <f>K761</f>
        <v>39.4</v>
      </c>
      <c r="L760" s="18"/>
      <c r="M760" s="83"/>
    </row>
    <row r="761" spans="1:13" ht="15.75">
      <c r="A761" s="36"/>
      <c r="B761" s="18" t="s">
        <v>159</v>
      </c>
      <c r="C761" s="22" t="s">
        <v>483</v>
      </c>
      <c r="D761" s="22" t="s">
        <v>126</v>
      </c>
      <c r="E761" s="22" t="s">
        <v>136</v>
      </c>
      <c r="F761" s="22" t="s">
        <v>158</v>
      </c>
      <c r="G761" s="75">
        <f>G762</f>
        <v>39.4</v>
      </c>
      <c r="H761" s="18"/>
      <c r="K761" s="75">
        <f>K762</f>
        <v>39.4</v>
      </c>
      <c r="L761" s="18"/>
      <c r="M761" s="83"/>
    </row>
    <row r="762" spans="1:13" ht="31.5">
      <c r="A762" s="36"/>
      <c r="B762" s="18" t="s">
        <v>165</v>
      </c>
      <c r="C762" s="22" t="s">
        <v>483</v>
      </c>
      <c r="D762" s="22" t="s">
        <v>126</v>
      </c>
      <c r="E762" s="22" t="s">
        <v>136</v>
      </c>
      <c r="F762" s="22" t="s">
        <v>164</v>
      </c>
      <c r="G762" s="75">
        <f>39.4</f>
        <v>39.4</v>
      </c>
      <c r="H762" s="18"/>
      <c r="K762" s="75">
        <f>39.4</f>
        <v>39.4</v>
      </c>
      <c r="L762" s="18"/>
      <c r="M762" s="83"/>
    </row>
    <row r="763" spans="1:13" ht="78.75">
      <c r="A763" s="36"/>
      <c r="B763" s="18" t="s">
        <v>484</v>
      </c>
      <c r="C763" s="22" t="s">
        <v>485</v>
      </c>
      <c r="D763" s="22" t="s">
        <v>126</v>
      </c>
      <c r="E763" s="22" t="s">
        <v>136</v>
      </c>
      <c r="F763" s="22"/>
      <c r="G763" s="75">
        <f>G764+G767</f>
        <v>201</v>
      </c>
      <c r="H763" s="18"/>
      <c r="K763" s="75">
        <f>K764+K767</f>
        <v>201</v>
      </c>
      <c r="L763" s="18"/>
      <c r="M763" s="83"/>
    </row>
    <row r="764" spans="1:13" ht="15.75">
      <c r="A764" s="36"/>
      <c r="B764" s="18" t="s">
        <v>182</v>
      </c>
      <c r="C764" s="22" t="s">
        <v>485</v>
      </c>
      <c r="D764" s="22" t="s">
        <v>126</v>
      </c>
      <c r="E764" s="22" t="s">
        <v>136</v>
      </c>
      <c r="F764" s="22"/>
      <c r="G764" s="75">
        <f>G765</f>
        <v>167.5</v>
      </c>
      <c r="H764" s="18"/>
      <c r="K764" s="75">
        <f>K765</f>
        <v>167.5</v>
      </c>
      <c r="L764" s="18"/>
      <c r="M764" s="83"/>
    </row>
    <row r="765" spans="1:13" ht="63">
      <c r="A765" s="36"/>
      <c r="B765" s="18" t="s">
        <v>170</v>
      </c>
      <c r="C765" s="22" t="s">
        <v>485</v>
      </c>
      <c r="D765" s="22" t="s">
        <v>126</v>
      </c>
      <c r="E765" s="22" t="s">
        <v>136</v>
      </c>
      <c r="F765" s="22" t="s">
        <v>168</v>
      </c>
      <c r="G765" s="75">
        <f>G766</f>
        <v>167.5</v>
      </c>
      <c r="H765" s="18"/>
      <c r="K765" s="75">
        <f>K766</f>
        <v>167.5</v>
      </c>
      <c r="L765" s="18"/>
      <c r="M765" s="83"/>
    </row>
    <row r="766" spans="1:13" ht="15.75">
      <c r="A766" s="36"/>
      <c r="B766" s="18" t="s">
        <v>171</v>
      </c>
      <c r="C766" s="22" t="s">
        <v>485</v>
      </c>
      <c r="D766" s="22" t="s">
        <v>126</v>
      </c>
      <c r="E766" s="22" t="s">
        <v>136</v>
      </c>
      <c r="F766" s="22" t="s">
        <v>169</v>
      </c>
      <c r="G766" s="75">
        <f>167.5</f>
        <v>167.5</v>
      </c>
      <c r="H766" s="18"/>
      <c r="K766" s="75">
        <f>167.5</f>
        <v>167.5</v>
      </c>
      <c r="L766" s="18"/>
      <c r="M766" s="83"/>
    </row>
    <row r="767" spans="1:13" ht="31.5">
      <c r="A767" s="36"/>
      <c r="B767" s="18" t="s">
        <v>183</v>
      </c>
      <c r="C767" s="22" t="s">
        <v>485</v>
      </c>
      <c r="D767" s="22" t="s">
        <v>126</v>
      </c>
      <c r="E767" s="22" t="s">
        <v>136</v>
      </c>
      <c r="F767" s="22"/>
      <c r="G767" s="75">
        <f>G768</f>
        <v>33.5</v>
      </c>
      <c r="H767" s="18"/>
      <c r="K767" s="75">
        <f>K768</f>
        <v>33.5</v>
      </c>
      <c r="L767" s="18"/>
      <c r="M767" s="83"/>
    </row>
    <row r="768" spans="1:13" ht="15.75">
      <c r="A768" s="36"/>
      <c r="B768" s="18" t="s">
        <v>159</v>
      </c>
      <c r="C768" s="22" t="s">
        <v>485</v>
      </c>
      <c r="D768" s="22" t="s">
        <v>126</v>
      </c>
      <c r="E768" s="22" t="s">
        <v>136</v>
      </c>
      <c r="F768" s="22" t="s">
        <v>158</v>
      </c>
      <c r="G768" s="75">
        <f>G769</f>
        <v>33.5</v>
      </c>
      <c r="H768" s="18"/>
      <c r="K768" s="75">
        <f>K769</f>
        <v>33.5</v>
      </c>
      <c r="L768" s="18"/>
      <c r="M768" s="83"/>
    </row>
    <row r="769" spans="1:13" ht="31.5">
      <c r="A769" s="36"/>
      <c r="B769" s="18" t="s">
        <v>165</v>
      </c>
      <c r="C769" s="22" t="s">
        <v>485</v>
      </c>
      <c r="D769" s="22" t="s">
        <v>126</v>
      </c>
      <c r="E769" s="22" t="s">
        <v>136</v>
      </c>
      <c r="F769" s="22" t="s">
        <v>164</v>
      </c>
      <c r="G769" s="75">
        <f>33.5</f>
        <v>33.5</v>
      </c>
      <c r="H769" s="18"/>
      <c r="K769" s="75">
        <f>33.5</f>
        <v>33.5</v>
      </c>
      <c r="L769" s="18"/>
      <c r="M769" s="83"/>
    </row>
    <row r="770" spans="1:13" ht="78.75">
      <c r="A770" s="36"/>
      <c r="B770" s="18" t="s">
        <v>486</v>
      </c>
      <c r="C770" s="22" t="s">
        <v>487</v>
      </c>
      <c r="D770" s="22" t="s">
        <v>126</v>
      </c>
      <c r="E770" s="22" t="s">
        <v>136</v>
      </c>
      <c r="F770" s="22"/>
      <c r="G770" s="75">
        <f>G771+G774</f>
        <v>402.1</v>
      </c>
      <c r="H770" s="18"/>
      <c r="K770" s="75">
        <f>K771+K774</f>
        <v>402.1</v>
      </c>
      <c r="L770" s="18"/>
      <c r="M770" s="83"/>
    </row>
    <row r="771" spans="1:13" ht="15.75">
      <c r="A771" s="36"/>
      <c r="B771" s="18" t="s">
        <v>182</v>
      </c>
      <c r="C771" s="22" t="s">
        <v>487</v>
      </c>
      <c r="D771" s="22" t="s">
        <v>126</v>
      </c>
      <c r="E771" s="22" t="s">
        <v>136</v>
      </c>
      <c r="F771" s="22"/>
      <c r="G771" s="75">
        <f>G772</f>
        <v>335.1</v>
      </c>
      <c r="H771" s="18"/>
      <c r="K771" s="75">
        <f>K772</f>
        <v>335.1</v>
      </c>
      <c r="L771" s="18"/>
      <c r="M771" s="83"/>
    </row>
    <row r="772" spans="1:13" ht="63">
      <c r="A772" s="36"/>
      <c r="B772" s="18" t="s">
        <v>170</v>
      </c>
      <c r="C772" s="22" t="s">
        <v>487</v>
      </c>
      <c r="D772" s="22" t="s">
        <v>126</v>
      </c>
      <c r="E772" s="22" t="s">
        <v>136</v>
      </c>
      <c r="F772" s="22" t="s">
        <v>168</v>
      </c>
      <c r="G772" s="75">
        <f>G773</f>
        <v>335.1</v>
      </c>
      <c r="H772" s="18"/>
      <c r="K772" s="75">
        <f>K773</f>
        <v>335.1</v>
      </c>
      <c r="L772" s="18"/>
      <c r="M772" s="83"/>
    </row>
    <row r="773" spans="1:13" ht="15.75">
      <c r="A773" s="36"/>
      <c r="B773" s="18" t="s">
        <v>171</v>
      </c>
      <c r="C773" s="22" t="s">
        <v>487</v>
      </c>
      <c r="D773" s="22" t="s">
        <v>126</v>
      </c>
      <c r="E773" s="22" t="s">
        <v>136</v>
      </c>
      <c r="F773" s="22" t="s">
        <v>169</v>
      </c>
      <c r="G773" s="75">
        <v>335.1</v>
      </c>
      <c r="H773" s="18"/>
      <c r="K773" s="75">
        <v>335.1</v>
      </c>
      <c r="L773" s="18"/>
      <c r="M773" s="83"/>
    </row>
    <row r="774" spans="1:13" ht="31.5">
      <c r="A774" s="36"/>
      <c r="B774" s="18" t="s">
        <v>183</v>
      </c>
      <c r="C774" s="22" t="s">
        <v>487</v>
      </c>
      <c r="D774" s="22" t="s">
        <v>126</v>
      </c>
      <c r="E774" s="22" t="s">
        <v>136</v>
      </c>
      <c r="F774" s="22"/>
      <c r="G774" s="75">
        <f>G775</f>
        <v>67</v>
      </c>
      <c r="H774" s="18"/>
      <c r="K774" s="75">
        <f>K775</f>
        <v>67</v>
      </c>
      <c r="L774" s="18"/>
      <c r="M774" s="83"/>
    </row>
    <row r="775" spans="1:13" ht="15.75">
      <c r="A775" s="36"/>
      <c r="B775" s="18" t="s">
        <v>159</v>
      </c>
      <c r="C775" s="22" t="s">
        <v>487</v>
      </c>
      <c r="D775" s="22" t="s">
        <v>126</v>
      </c>
      <c r="E775" s="22" t="s">
        <v>136</v>
      </c>
      <c r="F775" s="22" t="s">
        <v>158</v>
      </c>
      <c r="G775" s="75">
        <f>G776</f>
        <v>67</v>
      </c>
      <c r="H775" s="18"/>
      <c r="K775" s="75">
        <f>K776</f>
        <v>67</v>
      </c>
      <c r="L775" s="18"/>
      <c r="M775" s="83"/>
    </row>
    <row r="776" spans="1:13" ht="31.5">
      <c r="A776" s="36"/>
      <c r="B776" s="18" t="s">
        <v>165</v>
      </c>
      <c r="C776" s="22" t="s">
        <v>487</v>
      </c>
      <c r="D776" s="22" t="s">
        <v>126</v>
      </c>
      <c r="E776" s="22" t="s">
        <v>136</v>
      </c>
      <c r="F776" s="22" t="s">
        <v>164</v>
      </c>
      <c r="G776" s="75">
        <v>67</v>
      </c>
      <c r="H776" s="18"/>
      <c r="K776" s="75">
        <v>67</v>
      </c>
      <c r="L776" s="18"/>
      <c r="M776" s="83"/>
    </row>
    <row r="777" spans="1:13" ht="15.75">
      <c r="A777" s="36"/>
      <c r="B777" s="18" t="s">
        <v>235</v>
      </c>
      <c r="C777" s="22" t="s">
        <v>287</v>
      </c>
      <c r="D777" s="22" t="s">
        <v>126</v>
      </c>
      <c r="E777" s="22" t="s">
        <v>221</v>
      </c>
      <c r="F777" s="22"/>
      <c r="G777" s="21">
        <f>G793+G844+G778+G781+G787+G784+G790</f>
        <v>158944.30000000002</v>
      </c>
      <c r="H777" s="21">
        <f>H793+H844+H778+H781+H787+H784+H790</f>
        <v>18269</v>
      </c>
      <c r="K777" s="21">
        <f>K793+K844+K778+K781+K787+K784+K790</f>
        <v>158863.80000000002</v>
      </c>
      <c r="L777" s="21">
        <f>L793+L844+L778+L781+L787+L784+L790</f>
        <v>18193.5</v>
      </c>
      <c r="M777" s="83"/>
    </row>
    <row r="778" spans="1:13" ht="78.75">
      <c r="A778" s="36"/>
      <c r="B778" s="18" t="s">
        <v>48</v>
      </c>
      <c r="C778" s="19" t="s">
        <v>436</v>
      </c>
      <c r="D778" s="22" t="s">
        <v>126</v>
      </c>
      <c r="E778" s="22" t="s">
        <v>221</v>
      </c>
      <c r="F778" s="19"/>
      <c r="G778" s="21">
        <f>G779</f>
        <v>78720</v>
      </c>
      <c r="H778" s="21"/>
      <c r="K778" s="21">
        <f>K779</f>
        <v>78720</v>
      </c>
      <c r="L778" s="21"/>
      <c r="M778" s="83"/>
    </row>
    <row r="779" spans="1:13" ht="15.75">
      <c r="A779" s="36"/>
      <c r="B779" s="18" t="s">
        <v>184</v>
      </c>
      <c r="C779" s="19" t="s">
        <v>436</v>
      </c>
      <c r="D779" s="22" t="s">
        <v>126</v>
      </c>
      <c r="E779" s="22" t="s">
        <v>221</v>
      </c>
      <c r="F779" s="19" t="s">
        <v>185</v>
      </c>
      <c r="G779" s="21">
        <f>G780</f>
        <v>78720</v>
      </c>
      <c r="H779" s="21"/>
      <c r="K779" s="21">
        <f>K780</f>
        <v>78720</v>
      </c>
      <c r="L779" s="21"/>
      <c r="M779" s="83"/>
    </row>
    <row r="780" spans="1:13" ht="15.75">
      <c r="A780" s="36"/>
      <c r="B780" s="18" t="s">
        <v>224</v>
      </c>
      <c r="C780" s="19" t="s">
        <v>436</v>
      </c>
      <c r="D780" s="22" t="s">
        <v>126</v>
      </c>
      <c r="E780" s="22" t="s">
        <v>221</v>
      </c>
      <c r="F780" s="19" t="s">
        <v>225</v>
      </c>
      <c r="G780" s="21">
        <v>78720</v>
      </c>
      <c r="H780" s="21"/>
      <c r="K780" s="21">
        <v>78720</v>
      </c>
      <c r="L780" s="21"/>
      <c r="M780" s="83"/>
    </row>
    <row r="781" spans="1:13" ht="78" customHeight="1">
      <c r="A781" s="36"/>
      <c r="B781" s="18" t="s">
        <v>542</v>
      </c>
      <c r="C781" s="19" t="s">
        <v>541</v>
      </c>
      <c r="D781" s="22" t="s">
        <v>126</v>
      </c>
      <c r="E781" s="22" t="s">
        <v>221</v>
      </c>
      <c r="F781" s="19"/>
      <c r="G781" s="21">
        <f>G782</f>
        <v>753.1</v>
      </c>
      <c r="H781" s="21"/>
      <c r="K781" s="21">
        <f>K782</f>
        <v>752.8</v>
      </c>
      <c r="L781" s="21"/>
      <c r="M781" s="83"/>
    </row>
    <row r="782" spans="1:13" ht="15.75">
      <c r="A782" s="36"/>
      <c r="B782" s="18" t="s">
        <v>184</v>
      </c>
      <c r="C782" s="19" t="s">
        <v>541</v>
      </c>
      <c r="D782" s="22" t="s">
        <v>126</v>
      </c>
      <c r="E782" s="22" t="s">
        <v>221</v>
      </c>
      <c r="F782" s="19" t="s">
        <v>185</v>
      </c>
      <c r="G782" s="21">
        <f>G783</f>
        <v>753.1</v>
      </c>
      <c r="H782" s="21"/>
      <c r="K782" s="21">
        <f>K783</f>
        <v>752.8</v>
      </c>
      <c r="L782" s="21"/>
      <c r="M782" s="83"/>
    </row>
    <row r="783" spans="1:13" ht="15.75">
      <c r="A783" s="36"/>
      <c r="B783" s="18" t="s">
        <v>224</v>
      </c>
      <c r="C783" s="19" t="s">
        <v>541</v>
      </c>
      <c r="D783" s="22" t="s">
        <v>126</v>
      </c>
      <c r="E783" s="22" t="s">
        <v>221</v>
      </c>
      <c r="F783" s="19" t="s">
        <v>225</v>
      </c>
      <c r="G783" s="21">
        <f>96.9+34.5+245.3+15.5-18+9.5+45.2+19.8+82.4+115+41+16.4+49.6</f>
        <v>753.1</v>
      </c>
      <c r="H783" s="21"/>
      <c r="K783" s="21">
        <v>752.8</v>
      </c>
      <c r="L783" s="21"/>
      <c r="M783" s="83"/>
    </row>
    <row r="784" spans="1:13" ht="94.5">
      <c r="A784" s="36"/>
      <c r="B784" s="18" t="s">
        <v>592</v>
      </c>
      <c r="C784" s="22" t="s">
        <v>593</v>
      </c>
      <c r="D784" s="22" t="s">
        <v>126</v>
      </c>
      <c r="E784" s="22" t="s">
        <v>221</v>
      </c>
      <c r="F784" s="19"/>
      <c r="G784" s="21">
        <f>G785</f>
        <v>2662.7000000000003</v>
      </c>
      <c r="H784" s="21"/>
      <c r="K784" s="21">
        <f>K785</f>
        <v>2662.7000000000003</v>
      </c>
      <c r="L784" s="21"/>
      <c r="M784" s="83"/>
    </row>
    <row r="785" spans="1:13" ht="15.75">
      <c r="A785" s="36"/>
      <c r="B785" s="18" t="s">
        <v>184</v>
      </c>
      <c r="C785" s="22" t="s">
        <v>593</v>
      </c>
      <c r="D785" s="22" t="s">
        <v>126</v>
      </c>
      <c r="E785" s="22" t="s">
        <v>221</v>
      </c>
      <c r="F785" s="19" t="s">
        <v>185</v>
      </c>
      <c r="G785" s="21">
        <f>G786</f>
        <v>2662.7000000000003</v>
      </c>
      <c r="H785" s="21"/>
      <c r="K785" s="21">
        <f>K786</f>
        <v>2662.7000000000003</v>
      </c>
      <c r="L785" s="21"/>
      <c r="M785" s="83"/>
    </row>
    <row r="786" spans="1:13" ht="15.75">
      <c r="A786" s="36"/>
      <c r="B786" s="18" t="s">
        <v>224</v>
      </c>
      <c r="C786" s="22" t="s">
        <v>593</v>
      </c>
      <c r="D786" s="22" t="s">
        <v>126</v>
      </c>
      <c r="E786" s="22" t="s">
        <v>221</v>
      </c>
      <c r="F786" s="19" t="s">
        <v>225</v>
      </c>
      <c r="G786" s="21">
        <f>2125.3+268.2+18+20.3+55.9+175</f>
        <v>2662.7000000000003</v>
      </c>
      <c r="H786" s="21"/>
      <c r="K786" s="21">
        <f>2125.3+268.2+18+20.3+55.9+175</f>
        <v>2662.7000000000003</v>
      </c>
      <c r="L786" s="21"/>
      <c r="M786" s="83"/>
    </row>
    <row r="787" spans="1:13" ht="31.5">
      <c r="A787" s="36"/>
      <c r="B787" s="18" t="s">
        <v>183</v>
      </c>
      <c r="C787" s="22" t="s">
        <v>291</v>
      </c>
      <c r="D787" s="22" t="s">
        <v>126</v>
      </c>
      <c r="E787" s="22" t="s">
        <v>221</v>
      </c>
      <c r="F787" s="19"/>
      <c r="G787" s="19" t="str">
        <f>G788</f>
        <v>342,7</v>
      </c>
      <c r="H787" s="21"/>
      <c r="K787" s="19" t="str">
        <f>K788</f>
        <v>342,7</v>
      </c>
      <c r="L787" s="21"/>
      <c r="M787" s="83"/>
    </row>
    <row r="788" spans="1:13" ht="15.75">
      <c r="A788" s="36"/>
      <c r="B788" s="18" t="s">
        <v>184</v>
      </c>
      <c r="C788" s="22" t="s">
        <v>291</v>
      </c>
      <c r="D788" s="22" t="s">
        <v>126</v>
      </c>
      <c r="E788" s="22" t="s">
        <v>221</v>
      </c>
      <c r="F788" s="19" t="s">
        <v>185</v>
      </c>
      <c r="G788" s="19" t="str">
        <f>G789</f>
        <v>342,7</v>
      </c>
      <c r="H788" s="21"/>
      <c r="K788" s="19" t="str">
        <f>K789</f>
        <v>342,7</v>
      </c>
      <c r="L788" s="21"/>
      <c r="M788" s="83"/>
    </row>
    <row r="789" spans="1:13" ht="15.75">
      <c r="A789" s="36"/>
      <c r="B789" s="18" t="s">
        <v>186</v>
      </c>
      <c r="C789" s="22" t="s">
        <v>291</v>
      </c>
      <c r="D789" s="22" t="s">
        <v>126</v>
      </c>
      <c r="E789" s="22" t="s">
        <v>221</v>
      </c>
      <c r="F789" s="19" t="s">
        <v>187</v>
      </c>
      <c r="G789" s="19" t="s">
        <v>669</v>
      </c>
      <c r="H789" s="21"/>
      <c r="K789" s="19" t="s">
        <v>669</v>
      </c>
      <c r="L789" s="21"/>
      <c r="M789" s="83"/>
    </row>
    <row r="790" spans="1:13" ht="63">
      <c r="A790" s="36"/>
      <c r="B790" s="18" t="s">
        <v>609</v>
      </c>
      <c r="C790" s="22" t="s">
        <v>610</v>
      </c>
      <c r="D790" s="22" t="s">
        <v>126</v>
      </c>
      <c r="E790" s="22" t="s">
        <v>221</v>
      </c>
      <c r="F790" s="19"/>
      <c r="G790" s="21">
        <f>G791</f>
        <v>73</v>
      </c>
      <c r="H790" s="21">
        <f>H791</f>
        <v>73</v>
      </c>
      <c r="K790" s="21">
        <f>K791</f>
        <v>0</v>
      </c>
      <c r="L790" s="21">
        <f>L791</f>
        <v>0</v>
      </c>
      <c r="M790" s="83"/>
    </row>
    <row r="791" spans="1:13" ht="15.75">
      <c r="A791" s="36"/>
      <c r="B791" s="18" t="s">
        <v>159</v>
      </c>
      <c r="C791" s="22" t="s">
        <v>610</v>
      </c>
      <c r="D791" s="22" t="s">
        <v>126</v>
      </c>
      <c r="E791" s="22" t="s">
        <v>221</v>
      </c>
      <c r="F791" s="19" t="s">
        <v>158</v>
      </c>
      <c r="G791" s="21">
        <f>G792</f>
        <v>73</v>
      </c>
      <c r="H791" s="21">
        <f>H792</f>
        <v>73</v>
      </c>
      <c r="K791" s="21">
        <f>K792</f>
        <v>0</v>
      </c>
      <c r="L791" s="21">
        <f>L792</f>
        <v>0</v>
      </c>
      <c r="M791" s="83"/>
    </row>
    <row r="792" spans="1:13" ht="31.5">
      <c r="A792" s="36"/>
      <c r="B792" s="18" t="s">
        <v>165</v>
      </c>
      <c r="C792" s="22" t="s">
        <v>610</v>
      </c>
      <c r="D792" s="22" t="s">
        <v>126</v>
      </c>
      <c r="E792" s="22" t="s">
        <v>221</v>
      </c>
      <c r="F792" s="19" t="s">
        <v>164</v>
      </c>
      <c r="G792" s="21">
        <v>73</v>
      </c>
      <c r="H792" s="21">
        <v>73</v>
      </c>
      <c r="K792" s="21">
        <v>0</v>
      </c>
      <c r="L792" s="21">
        <v>0</v>
      </c>
      <c r="M792" s="83"/>
    </row>
    <row r="793" spans="1:13" ht="31.5">
      <c r="A793" s="36"/>
      <c r="B793" s="18" t="s">
        <v>240</v>
      </c>
      <c r="C793" s="22" t="s">
        <v>293</v>
      </c>
      <c r="D793" s="22" t="s">
        <v>126</v>
      </c>
      <c r="E793" s="22" t="s">
        <v>221</v>
      </c>
      <c r="F793" s="22"/>
      <c r="G793" s="21">
        <f>G794+G801+G808</f>
        <v>58196.8</v>
      </c>
      <c r="H793" s="30"/>
      <c r="K793" s="21">
        <f>K794+K801+K808</f>
        <v>58192.100000000006</v>
      </c>
      <c r="L793" s="30"/>
      <c r="M793" s="83"/>
    </row>
    <row r="794" spans="1:13" ht="31.5">
      <c r="A794" s="36"/>
      <c r="B794" s="18" t="s">
        <v>62</v>
      </c>
      <c r="C794" s="22" t="s">
        <v>293</v>
      </c>
      <c r="D794" s="22" t="s">
        <v>126</v>
      </c>
      <c r="E794" s="22" t="s">
        <v>221</v>
      </c>
      <c r="F794" s="22"/>
      <c r="G794" s="21">
        <f>G795+G798+G799</f>
        <v>46856.8</v>
      </c>
      <c r="H794" s="30"/>
      <c r="K794" s="21">
        <f>K795+K798+K799</f>
        <v>46852.200000000004</v>
      </c>
      <c r="L794" s="30"/>
      <c r="M794" s="83"/>
    </row>
    <row r="795" spans="1:13" ht="63">
      <c r="A795" s="36"/>
      <c r="B795" s="18" t="s">
        <v>170</v>
      </c>
      <c r="C795" s="22" t="s">
        <v>293</v>
      </c>
      <c r="D795" s="22" t="s">
        <v>126</v>
      </c>
      <c r="E795" s="22" t="s">
        <v>221</v>
      </c>
      <c r="F795" s="22" t="s">
        <v>168</v>
      </c>
      <c r="G795" s="21">
        <f>G796</f>
        <v>31772.9</v>
      </c>
      <c r="H795" s="30"/>
      <c r="K795" s="21">
        <f>K796</f>
        <v>31768.3</v>
      </c>
      <c r="L795" s="30"/>
      <c r="M795" s="83"/>
    </row>
    <row r="796" spans="1:13" ht="15.75">
      <c r="A796" s="36"/>
      <c r="B796" s="18" t="s">
        <v>189</v>
      </c>
      <c r="C796" s="22" t="s">
        <v>293</v>
      </c>
      <c r="D796" s="22" t="s">
        <v>126</v>
      </c>
      <c r="E796" s="22" t="s">
        <v>221</v>
      </c>
      <c r="F796" s="22" t="s">
        <v>190</v>
      </c>
      <c r="G796" s="21">
        <f>23114.3+7100.2+358.4+1200</f>
        <v>31772.9</v>
      </c>
      <c r="H796" s="30"/>
      <c r="K796" s="21">
        <v>31768.3</v>
      </c>
      <c r="L796" s="30"/>
      <c r="M796" s="83"/>
    </row>
    <row r="797" spans="1:13" ht="15.75">
      <c r="A797" s="36"/>
      <c r="B797" s="18" t="s">
        <v>159</v>
      </c>
      <c r="C797" s="22" t="s">
        <v>293</v>
      </c>
      <c r="D797" s="22" t="s">
        <v>126</v>
      </c>
      <c r="E797" s="22" t="s">
        <v>221</v>
      </c>
      <c r="F797" s="22" t="s">
        <v>158</v>
      </c>
      <c r="G797" s="21">
        <f>G798</f>
        <v>14752.5</v>
      </c>
      <c r="H797" s="30"/>
      <c r="K797" s="21">
        <f>K798</f>
        <v>14752.5</v>
      </c>
      <c r="L797" s="30"/>
      <c r="M797" s="83"/>
    </row>
    <row r="798" spans="1:13" ht="31.5">
      <c r="A798" s="36"/>
      <c r="B798" s="18" t="s">
        <v>165</v>
      </c>
      <c r="C798" s="22" t="s">
        <v>293</v>
      </c>
      <c r="D798" s="22" t="s">
        <v>126</v>
      </c>
      <c r="E798" s="22" t="s">
        <v>221</v>
      </c>
      <c r="F798" s="22" t="s">
        <v>164</v>
      </c>
      <c r="G798" s="21">
        <f>16185.7-7100.2+1000+4656.8+10.2</f>
        <v>14752.5</v>
      </c>
      <c r="H798" s="30"/>
      <c r="K798" s="21">
        <f>16185.7-7100.2+1000+4656.8+10.2</f>
        <v>14752.5</v>
      </c>
      <c r="L798" s="30"/>
      <c r="M798" s="83"/>
    </row>
    <row r="799" spans="1:13" ht="15.75">
      <c r="A799" s="36"/>
      <c r="B799" s="18" t="s">
        <v>184</v>
      </c>
      <c r="C799" s="22" t="s">
        <v>293</v>
      </c>
      <c r="D799" s="22" t="s">
        <v>126</v>
      </c>
      <c r="E799" s="22" t="s">
        <v>221</v>
      </c>
      <c r="F799" s="22" t="s">
        <v>185</v>
      </c>
      <c r="G799" s="21">
        <f>G800</f>
        <v>331.4</v>
      </c>
      <c r="H799" s="30"/>
      <c r="K799" s="21">
        <f>K800</f>
        <v>331.4</v>
      </c>
      <c r="L799" s="30"/>
      <c r="M799" s="83"/>
    </row>
    <row r="800" spans="1:13" ht="15.75">
      <c r="A800" s="36"/>
      <c r="B800" s="18" t="s">
        <v>186</v>
      </c>
      <c r="C800" s="22" t="s">
        <v>293</v>
      </c>
      <c r="D800" s="22" t="s">
        <v>126</v>
      </c>
      <c r="E800" s="22" t="s">
        <v>221</v>
      </c>
      <c r="F800" s="22" t="s">
        <v>187</v>
      </c>
      <c r="G800" s="21">
        <f>700-368.6</f>
        <v>331.4</v>
      </c>
      <c r="H800" s="30"/>
      <c r="K800" s="21">
        <f>700-368.6</f>
        <v>331.4</v>
      </c>
      <c r="L800" s="30"/>
      <c r="M800" s="83"/>
    </row>
    <row r="801" spans="1:13" ht="31.5">
      <c r="A801" s="36"/>
      <c r="B801" s="18" t="s">
        <v>63</v>
      </c>
      <c r="C801" s="22" t="s">
        <v>71</v>
      </c>
      <c r="D801" s="22" t="s">
        <v>126</v>
      </c>
      <c r="E801" s="22" t="s">
        <v>221</v>
      </c>
      <c r="F801" s="22"/>
      <c r="G801" s="21">
        <f>G802+G804+G806</f>
        <v>7690.8</v>
      </c>
      <c r="H801" s="30"/>
      <c r="K801" s="21">
        <f>K802+K804+K806</f>
        <v>7690.8</v>
      </c>
      <c r="L801" s="30"/>
      <c r="M801" s="83"/>
    </row>
    <row r="802" spans="1:13" ht="63">
      <c r="A802" s="36"/>
      <c r="B802" s="18" t="s">
        <v>170</v>
      </c>
      <c r="C802" s="22" t="s">
        <v>71</v>
      </c>
      <c r="D802" s="22" t="s">
        <v>126</v>
      </c>
      <c r="E802" s="22" t="s">
        <v>221</v>
      </c>
      <c r="F802" s="22" t="s">
        <v>168</v>
      </c>
      <c r="G802" s="21">
        <f>G803</f>
        <v>6674.8</v>
      </c>
      <c r="H802" s="30"/>
      <c r="K802" s="21">
        <f>K803</f>
        <v>6674.8</v>
      </c>
      <c r="L802" s="30"/>
      <c r="M802" s="83"/>
    </row>
    <row r="803" spans="1:13" ht="15.75">
      <c r="A803" s="36"/>
      <c r="B803" s="18" t="s">
        <v>189</v>
      </c>
      <c r="C803" s="22" t="s">
        <v>71</v>
      </c>
      <c r="D803" s="22" t="s">
        <v>126</v>
      </c>
      <c r="E803" s="22" t="s">
        <v>221</v>
      </c>
      <c r="F803" s="22" t="s">
        <v>190</v>
      </c>
      <c r="G803" s="21">
        <v>6674.8</v>
      </c>
      <c r="H803" s="30"/>
      <c r="K803" s="21">
        <v>6674.8</v>
      </c>
      <c r="L803" s="30"/>
      <c r="M803" s="83"/>
    </row>
    <row r="804" spans="1:13" ht="15.75">
      <c r="A804" s="36"/>
      <c r="B804" s="18" t="s">
        <v>159</v>
      </c>
      <c r="C804" s="22" t="s">
        <v>71</v>
      </c>
      <c r="D804" s="22" t="s">
        <v>126</v>
      </c>
      <c r="E804" s="22" t="s">
        <v>221</v>
      </c>
      <c r="F804" s="22" t="s">
        <v>158</v>
      </c>
      <c r="G804" s="21">
        <f>G805</f>
        <v>1015.9</v>
      </c>
      <c r="H804" s="30"/>
      <c r="K804" s="21">
        <f>K805</f>
        <v>1015.9</v>
      </c>
      <c r="L804" s="30"/>
      <c r="M804" s="83"/>
    </row>
    <row r="805" spans="1:13" ht="31.5">
      <c r="A805" s="36"/>
      <c r="B805" s="18" t="s">
        <v>165</v>
      </c>
      <c r="C805" s="22" t="s">
        <v>71</v>
      </c>
      <c r="D805" s="22" t="s">
        <v>126</v>
      </c>
      <c r="E805" s="22" t="s">
        <v>221</v>
      </c>
      <c r="F805" s="22" t="s">
        <v>164</v>
      </c>
      <c r="G805" s="21">
        <v>1015.9</v>
      </c>
      <c r="H805" s="30"/>
      <c r="K805" s="21">
        <v>1015.9</v>
      </c>
      <c r="L805" s="30"/>
      <c r="M805" s="83"/>
    </row>
    <row r="806" spans="1:13" ht="15.75">
      <c r="A806" s="36"/>
      <c r="B806" s="18" t="s">
        <v>184</v>
      </c>
      <c r="C806" s="22" t="s">
        <v>71</v>
      </c>
      <c r="D806" s="22" t="s">
        <v>126</v>
      </c>
      <c r="E806" s="22" t="s">
        <v>221</v>
      </c>
      <c r="F806" s="22" t="s">
        <v>185</v>
      </c>
      <c r="G806" s="21">
        <f>G807</f>
        <v>0.1</v>
      </c>
      <c r="H806" s="30"/>
      <c r="K806" s="21">
        <f>K807</f>
        <v>0.1</v>
      </c>
      <c r="L806" s="30"/>
      <c r="M806" s="83"/>
    </row>
    <row r="807" spans="1:13" ht="15.75">
      <c r="A807" s="36"/>
      <c r="B807" s="18" t="s">
        <v>186</v>
      </c>
      <c r="C807" s="22" t="s">
        <v>71</v>
      </c>
      <c r="D807" s="22" t="s">
        <v>126</v>
      </c>
      <c r="E807" s="22" t="s">
        <v>221</v>
      </c>
      <c r="F807" s="22" t="s">
        <v>187</v>
      </c>
      <c r="G807" s="21">
        <v>0.1</v>
      </c>
      <c r="H807" s="30"/>
      <c r="K807" s="21">
        <v>0.1</v>
      </c>
      <c r="L807" s="30"/>
      <c r="M807" s="83"/>
    </row>
    <row r="808" spans="1:13" ht="47.25">
      <c r="A808" s="36"/>
      <c r="B808" s="18" t="s">
        <v>459</v>
      </c>
      <c r="C808" s="22" t="s">
        <v>460</v>
      </c>
      <c r="D808" s="22" t="s">
        <v>126</v>
      </c>
      <c r="E808" s="22" t="s">
        <v>221</v>
      </c>
      <c r="F808" s="22"/>
      <c r="G808" s="21">
        <f>G809</f>
        <v>3649.2</v>
      </c>
      <c r="H808" s="30"/>
      <c r="K808" s="21">
        <f>K809</f>
        <v>3649.1</v>
      </c>
      <c r="L808" s="30"/>
      <c r="M808" s="83"/>
    </row>
    <row r="809" spans="1:13" ht="47.25">
      <c r="A809" s="36"/>
      <c r="B809" s="18" t="s">
        <v>461</v>
      </c>
      <c r="C809" s="22" t="s">
        <v>460</v>
      </c>
      <c r="D809" s="22" t="s">
        <v>126</v>
      </c>
      <c r="E809" s="22" t="s">
        <v>221</v>
      </c>
      <c r="F809" s="22"/>
      <c r="G809" s="21">
        <f>G810+G812</f>
        <v>3649.2</v>
      </c>
      <c r="H809" s="30"/>
      <c r="K809" s="21">
        <f>K810+K812</f>
        <v>3649.1</v>
      </c>
      <c r="L809" s="30"/>
      <c r="M809" s="83"/>
    </row>
    <row r="810" spans="1:13" ht="63">
      <c r="A810" s="36"/>
      <c r="B810" s="18" t="s">
        <v>170</v>
      </c>
      <c r="C810" s="22" t="s">
        <v>460</v>
      </c>
      <c r="D810" s="22" t="s">
        <v>126</v>
      </c>
      <c r="E810" s="22" t="s">
        <v>221</v>
      </c>
      <c r="F810" s="22" t="s">
        <v>168</v>
      </c>
      <c r="G810" s="21">
        <f>G811</f>
        <v>3193.6</v>
      </c>
      <c r="H810" s="30"/>
      <c r="K810" s="21">
        <f>K811</f>
        <v>3193.5</v>
      </c>
      <c r="L810" s="30"/>
      <c r="M810" s="83"/>
    </row>
    <row r="811" spans="1:13" ht="15.75">
      <c r="A811" s="36"/>
      <c r="B811" s="18" t="s">
        <v>189</v>
      </c>
      <c r="C811" s="22" t="s">
        <v>460</v>
      </c>
      <c r="D811" s="22" t="s">
        <v>126</v>
      </c>
      <c r="E811" s="22" t="s">
        <v>221</v>
      </c>
      <c r="F811" s="22" t="s">
        <v>190</v>
      </c>
      <c r="G811" s="21">
        <f>G819+G816+G827+G832+G835+G840+G843+G824</f>
        <v>3193.6</v>
      </c>
      <c r="H811" s="30"/>
      <c r="K811" s="21">
        <f>K819+K816+K827+K832+K835+K840+K843+K824</f>
        <v>3193.5</v>
      </c>
      <c r="L811" s="30"/>
      <c r="M811" s="83"/>
    </row>
    <row r="812" spans="1:13" ht="15.75">
      <c r="A812" s="36"/>
      <c r="B812" s="18" t="s">
        <v>159</v>
      </c>
      <c r="C812" s="22" t="s">
        <v>460</v>
      </c>
      <c r="D812" s="22" t="s">
        <v>126</v>
      </c>
      <c r="E812" s="22" t="s">
        <v>221</v>
      </c>
      <c r="F812" s="22" t="s">
        <v>158</v>
      </c>
      <c r="G812" s="21">
        <f>G813</f>
        <v>455.6</v>
      </c>
      <c r="H812" s="30"/>
      <c r="K812" s="21">
        <f>K813</f>
        <v>455.6</v>
      </c>
      <c r="L812" s="30"/>
      <c r="M812" s="83"/>
    </row>
    <row r="813" spans="1:13" ht="31.5">
      <c r="A813" s="36"/>
      <c r="B813" s="18" t="s">
        <v>165</v>
      </c>
      <c r="C813" s="22" t="s">
        <v>460</v>
      </c>
      <c r="D813" s="22" t="s">
        <v>126</v>
      </c>
      <c r="E813" s="22" t="s">
        <v>221</v>
      </c>
      <c r="F813" s="22" t="s">
        <v>164</v>
      </c>
      <c r="G813" s="21">
        <f>G821+G829+G837</f>
        <v>455.6</v>
      </c>
      <c r="H813" s="30"/>
      <c r="K813" s="21">
        <f>K821+K829+K837</f>
        <v>455.6</v>
      </c>
      <c r="L813" s="30"/>
      <c r="M813" s="83"/>
    </row>
    <row r="814" spans="1:13" ht="63">
      <c r="A814" s="36"/>
      <c r="B814" s="18" t="s">
        <v>493</v>
      </c>
      <c r="C814" s="22" t="s">
        <v>494</v>
      </c>
      <c r="D814" s="22" t="s">
        <v>126</v>
      </c>
      <c r="E814" s="22" t="s">
        <v>221</v>
      </c>
      <c r="F814" s="22"/>
      <c r="G814" s="21">
        <f>G815</f>
        <v>201</v>
      </c>
      <c r="H814" s="30"/>
      <c r="K814" s="21">
        <f>K815</f>
        <v>201</v>
      </c>
      <c r="L814" s="30"/>
      <c r="M814" s="83"/>
    </row>
    <row r="815" spans="1:13" ht="63">
      <c r="A815" s="36"/>
      <c r="B815" s="18" t="s">
        <v>170</v>
      </c>
      <c r="C815" s="22" t="s">
        <v>494</v>
      </c>
      <c r="D815" s="22" t="s">
        <v>126</v>
      </c>
      <c r="E815" s="22" t="s">
        <v>221</v>
      </c>
      <c r="F815" s="22" t="s">
        <v>168</v>
      </c>
      <c r="G815" s="21">
        <f>G816</f>
        <v>201</v>
      </c>
      <c r="H815" s="30"/>
      <c r="K815" s="21">
        <f>K816</f>
        <v>201</v>
      </c>
      <c r="L815" s="30"/>
      <c r="M815" s="83"/>
    </row>
    <row r="816" spans="1:13" ht="15.75">
      <c r="A816" s="36"/>
      <c r="B816" s="18" t="s">
        <v>189</v>
      </c>
      <c r="C816" s="22" t="s">
        <v>494</v>
      </c>
      <c r="D816" s="22" t="s">
        <v>126</v>
      </c>
      <c r="E816" s="22" t="s">
        <v>221</v>
      </c>
      <c r="F816" s="22" t="s">
        <v>190</v>
      </c>
      <c r="G816" s="21">
        <v>201</v>
      </c>
      <c r="H816" s="30"/>
      <c r="K816" s="21">
        <v>201</v>
      </c>
      <c r="L816" s="30"/>
      <c r="M816" s="83"/>
    </row>
    <row r="817" spans="1:13" ht="55.5" customHeight="1">
      <c r="A817" s="36"/>
      <c r="B817" s="18" t="s">
        <v>462</v>
      </c>
      <c r="C817" s="22" t="s">
        <v>463</v>
      </c>
      <c r="D817" s="22" t="s">
        <v>126</v>
      </c>
      <c r="E817" s="22" t="s">
        <v>221</v>
      </c>
      <c r="F817" s="22"/>
      <c r="G817" s="21">
        <f>G818+G820</f>
        <v>2412.2</v>
      </c>
      <c r="H817" s="30"/>
      <c r="K817" s="21">
        <f>K818+K820</f>
        <v>2412.1</v>
      </c>
      <c r="L817" s="30"/>
      <c r="M817" s="83"/>
    </row>
    <row r="818" spans="1:13" ht="63">
      <c r="A818" s="36"/>
      <c r="B818" s="18" t="s">
        <v>170</v>
      </c>
      <c r="C818" s="22" t="s">
        <v>463</v>
      </c>
      <c r="D818" s="22" t="s">
        <v>126</v>
      </c>
      <c r="E818" s="22" t="s">
        <v>221</v>
      </c>
      <c r="F818" s="22" t="s">
        <v>168</v>
      </c>
      <c r="G818" s="21">
        <f>G819</f>
        <v>2010.2</v>
      </c>
      <c r="H818" s="30"/>
      <c r="K818" s="21">
        <f>K819</f>
        <v>2010.1</v>
      </c>
      <c r="L818" s="30"/>
      <c r="M818" s="83"/>
    </row>
    <row r="819" spans="1:13" ht="15.75">
      <c r="A819" s="36"/>
      <c r="B819" s="18" t="s">
        <v>189</v>
      </c>
      <c r="C819" s="22" t="s">
        <v>463</v>
      </c>
      <c r="D819" s="22" t="s">
        <v>126</v>
      </c>
      <c r="E819" s="22" t="s">
        <v>221</v>
      </c>
      <c r="F819" s="22" t="s">
        <v>190</v>
      </c>
      <c r="G819" s="21">
        <v>2010.2</v>
      </c>
      <c r="H819" s="30"/>
      <c r="K819" s="21">
        <v>2010.1</v>
      </c>
      <c r="L819" s="30"/>
      <c r="M819" s="83"/>
    </row>
    <row r="820" spans="1:13" ht="15.75">
      <c r="A820" s="36"/>
      <c r="B820" s="18" t="s">
        <v>159</v>
      </c>
      <c r="C820" s="22" t="s">
        <v>463</v>
      </c>
      <c r="D820" s="22" t="s">
        <v>126</v>
      </c>
      <c r="E820" s="22" t="s">
        <v>221</v>
      </c>
      <c r="F820" s="22" t="s">
        <v>158</v>
      </c>
      <c r="G820" s="21">
        <f>G821</f>
        <v>402</v>
      </c>
      <c r="H820" s="30"/>
      <c r="K820" s="21">
        <f>K821</f>
        <v>402</v>
      </c>
      <c r="L820" s="30"/>
      <c r="M820" s="83"/>
    </row>
    <row r="821" spans="1:13" ht="31.5">
      <c r="A821" s="36"/>
      <c r="B821" s="18" t="s">
        <v>165</v>
      </c>
      <c r="C821" s="22" t="s">
        <v>463</v>
      </c>
      <c r="D821" s="22" t="s">
        <v>126</v>
      </c>
      <c r="E821" s="22" t="s">
        <v>221</v>
      </c>
      <c r="F821" s="22" t="s">
        <v>164</v>
      </c>
      <c r="G821" s="21">
        <v>402</v>
      </c>
      <c r="H821" s="30"/>
      <c r="K821" s="21">
        <v>402</v>
      </c>
      <c r="L821" s="30"/>
      <c r="M821" s="83"/>
    </row>
    <row r="822" spans="1:13" ht="63">
      <c r="A822" s="36"/>
      <c r="B822" s="18" t="s">
        <v>678</v>
      </c>
      <c r="C822" s="22" t="s">
        <v>679</v>
      </c>
      <c r="D822" s="22" t="s">
        <v>126</v>
      </c>
      <c r="E822" s="22" t="s">
        <v>221</v>
      </c>
      <c r="F822" s="22"/>
      <c r="G822" s="75">
        <f>G823</f>
        <v>402</v>
      </c>
      <c r="H822" s="30"/>
      <c r="K822" s="75">
        <f>K823</f>
        <v>402</v>
      </c>
      <c r="L822" s="30"/>
      <c r="M822" s="83"/>
    </row>
    <row r="823" spans="1:13" ht="63">
      <c r="A823" s="36"/>
      <c r="B823" s="18" t="s">
        <v>170</v>
      </c>
      <c r="C823" s="22" t="s">
        <v>679</v>
      </c>
      <c r="D823" s="22" t="s">
        <v>126</v>
      </c>
      <c r="E823" s="22" t="s">
        <v>221</v>
      </c>
      <c r="F823" s="22" t="s">
        <v>168</v>
      </c>
      <c r="G823" s="75">
        <f>G824</f>
        <v>402</v>
      </c>
      <c r="H823" s="30"/>
      <c r="K823" s="75">
        <f>K824</f>
        <v>402</v>
      </c>
      <c r="L823" s="30"/>
      <c r="M823" s="83"/>
    </row>
    <row r="824" spans="1:13" ht="15.75">
      <c r="A824" s="36"/>
      <c r="B824" s="18" t="s">
        <v>189</v>
      </c>
      <c r="C824" s="22" t="s">
        <v>679</v>
      </c>
      <c r="D824" s="22" t="s">
        <v>126</v>
      </c>
      <c r="E824" s="22" t="s">
        <v>221</v>
      </c>
      <c r="F824" s="22" t="s">
        <v>190</v>
      </c>
      <c r="G824" s="75">
        <v>402</v>
      </c>
      <c r="H824" s="30"/>
      <c r="K824" s="75">
        <v>402</v>
      </c>
      <c r="L824" s="30"/>
      <c r="M824" s="83"/>
    </row>
    <row r="825" spans="1:13" ht="63">
      <c r="A825" s="36"/>
      <c r="B825" s="18" t="s">
        <v>495</v>
      </c>
      <c r="C825" s="22" t="s">
        <v>496</v>
      </c>
      <c r="D825" s="22" t="s">
        <v>126</v>
      </c>
      <c r="E825" s="22" t="s">
        <v>221</v>
      </c>
      <c r="F825" s="22"/>
      <c r="G825" s="75">
        <f>G826+G828</f>
        <v>160.8</v>
      </c>
      <c r="H825" s="30"/>
      <c r="K825" s="75">
        <f>K826+K828</f>
        <v>160.8</v>
      </c>
      <c r="L825" s="30"/>
      <c r="M825" s="83"/>
    </row>
    <row r="826" spans="1:13" ht="63">
      <c r="A826" s="36"/>
      <c r="B826" s="18" t="s">
        <v>170</v>
      </c>
      <c r="C826" s="22" t="s">
        <v>496</v>
      </c>
      <c r="D826" s="22" t="s">
        <v>126</v>
      </c>
      <c r="E826" s="22" t="s">
        <v>221</v>
      </c>
      <c r="F826" s="22" t="s">
        <v>168</v>
      </c>
      <c r="G826" s="75">
        <f>G827</f>
        <v>134</v>
      </c>
      <c r="H826" s="30"/>
      <c r="K826" s="75">
        <f>K827</f>
        <v>134</v>
      </c>
      <c r="L826" s="30"/>
      <c r="M826" s="83"/>
    </row>
    <row r="827" spans="1:13" ht="15.75">
      <c r="A827" s="36"/>
      <c r="B827" s="18" t="s">
        <v>189</v>
      </c>
      <c r="C827" s="22" t="s">
        <v>496</v>
      </c>
      <c r="D827" s="22" t="s">
        <v>126</v>
      </c>
      <c r="E827" s="22" t="s">
        <v>221</v>
      </c>
      <c r="F827" s="22" t="s">
        <v>190</v>
      </c>
      <c r="G827" s="75">
        <f>134</f>
        <v>134</v>
      </c>
      <c r="H827" s="30"/>
      <c r="K827" s="75">
        <f>134</f>
        <v>134</v>
      </c>
      <c r="L827" s="30"/>
      <c r="M827" s="83"/>
    </row>
    <row r="828" spans="1:13" ht="15.75">
      <c r="A828" s="36"/>
      <c r="B828" s="18" t="s">
        <v>159</v>
      </c>
      <c r="C828" s="22" t="s">
        <v>496</v>
      </c>
      <c r="D828" s="22" t="s">
        <v>126</v>
      </c>
      <c r="E828" s="22" t="s">
        <v>221</v>
      </c>
      <c r="F828" s="22" t="s">
        <v>158</v>
      </c>
      <c r="G828" s="75">
        <f>G829</f>
        <v>26.8</v>
      </c>
      <c r="H828" s="30"/>
      <c r="K828" s="75">
        <f>K829</f>
        <v>26.8</v>
      </c>
      <c r="L828" s="30"/>
      <c r="M828" s="83"/>
    </row>
    <row r="829" spans="1:13" ht="31.5">
      <c r="A829" s="36"/>
      <c r="B829" s="18" t="s">
        <v>165</v>
      </c>
      <c r="C829" s="22" t="s">
        <v>496</v>
      </c>
      <c r="D829" s="22" t="s">
        <v>126</v>
      </c>
      <c r="E829" s="22" t="s">
        <v>221</v>
      </c>
      <c r="F829" s="22" t="s">
        <v>164</v>
      </c>
      <c r="G829" s="75">
        <f>26.8</f>
        <v>26.8</v>
      </c>
      <c r="H829" s="30"/>
      <c r="K829" s="75">
        <f>26.8</f>
        <v>26.8</v>
      </c>
      <c r="L829" s="30"/>
      <c r="M829" s="83"/>
    </row>
    <row r="830" spans="1:13" ht="63">
      <c r="A830" s="36"/>
      <c r="B830" s="18" t="s">
        <v>503</v>
      </c>
      <c r="C830" s="22" t="s">
        <v>504</v>
      </c>
      <c r="D830" s="22" t="s">
        <v>126</v>
      </c>
      <c r="E830" s="22" t="s">
        <v>221</v>
      </c>
      <c r="F830" s="22"/>
      <c r="G830" s="75">
        <f>G831</f>
        <v>160.8</v>
      </c>
      <c r="H830" s="30"/>
      <c r="K830" s="75">
        <f>K831</f>
        <v>160.8</v>
      </c>
      <c r="L830" s="30"/>
      <c r="M830" s="83"/>
    </row>
    <row r="831" spans="1:13" ht="63">
      <c r="A831" s="36"/>
      <c r="B831" s="18" t="s">
        <v>170</v>
      </c>
      <c r="C831" s="22" t="s">
        <v>504</v>
      </c>
      <c r="D831" s="22" t="s">
        <v>126</v>
      </c>
      <c r="E831" s="22" t="s">
        <v>221</v>
      </c>
      <c r="F831" s="22" t="s">
        <v>168</v>
      </c>
      <c r="G831" s="75">
        <f>G832</f>
        <v>160.8</v>
      </c>
      <c r="H831" s="30"/>
      <c r="K831" s="75">
        <f>K832</f>
        <v>160.8</v>
      </c>
      <c r="L831" s="30"/>
      <c r="M831" s="83"/>
    </row>
    <row r="832" spans="1:13" ht="15.75">
      <c r="A832" s="36"/>
      <c r="B832" s="18" t="s">
        <v>189</v>
      </c>
      <c r="C832" s="22" t="s">
        <v>504</v>
      </c>
      <c r="D832" s="22" t="s">
        <v>126</v>
      </c>
      <c r="E832" s="22" t="s">
        <v>221</v>
      </c>
      <c r="F832" s="22" t="s">
        <v>190</v>
      </c>
      <c r="G832" s="75">
        <v>160.8</v>
      </c>
      <c r="H832" s="30"/>
      <c r="K832" s="75">
        <v>160.8</v>
      </c>
      <c r="L832" s="30"/>
      <c r="M832" s="83"/>
    </row>
    <row r="833" spans="1:13" ht="54.75" customHeight="1">
      <c r="A833" s="36"/>
      <c r="B833" s="18" t="s">
        <v>497</v>
      </c>
      <c r="C833" s="22" t="s">
        <v>498</v>
      </c>
      <c r="D833" s="22" t="s">
        <v>126</v>
      </c>
      <c r="E833" s="22" t="s">
        <v>221</v>
      </c>
      <c r="F833" s="22"/>
      <c r="G833" s="75">
        <f>G834+G836</f>
        <v>160.8</v>
      </c>
      <c r="H833" s="30"/>
      <c r="K833" s="75">
        <f>K834+K836</f>
        <v>160.8</v>
      </c>
      <c r="L833" s="30"/>
      <c r="M833" s="83"/>
    </row>
    <row r="834" spans="1:13" ht="63">
      <c r="A834" s="36"/>
      <c r="B834" s="18" t="s">
        <v>170</v>
      </c>
      <c r="C834" s="22" t="s">
        <v>498</v>
      </c>
      <c r="D834" s="22" t="s">
        <v>126</v>
      </c>
      <c r="E834" s="22" t="s">
        <v>221</v>
      </c>
      <c r="F834" s="22" t="s">
        <v>168</v>
      </c>
      <c r="G834" s="75">
        <f>G835</f>
        <v>134</v>
      </c>
      <c r="H834" s="30"/>
      <c r="K834" s="75">
        <f>K835</f>
        <v>134</v>
      </c>
      <c r="L834" s="30"/>
      <c r="M834" s="83"/>
    </row>
    <row r="835" spans="1:13" ht="15.75">
      <c r="A835" s="36"/>
      <c r="B835" s="18" t="s">
        <v>189</v>
      </c>
      <c r="C835" s="22" t="s">
        <v>498</v>
      </c>
      <c r="D835" s="22" t="s">
        <v>126</v>
      </c>
      <c r="E835" s="22" t="s">
        <v>221</v>
      </c>
      <c r="F835" s="22" t="s">
        <v>190</v>
      </c>
      <c r="G835" s="75">
        <f>134</f>
        <v>134</v>
      </c>
      <c r="H835" s="30"/>
      <c r="K835" s="75">
        <f>134</f>
        <v>134</v>
      </c>
      <c r="L835" s="30"/>
      <c r="M835" s="83"/>
    </row>
    <row r="836" spans="1:13" ht="15.75">
      <c r="A836" s="36"/>
      <c r="B836" s="18" t="s">
        <v>159</v>
      </c>
      <c r="C836" s="22" t="s">
        <v>498</v>
      </c>
      <c r="D836" s="22" t="s">
        <v>126</v>
      </c>
      <c r="E836" s="22" t="s">
        <v>221</v>
      </c>
      <c r="F836" s="22" t="s">
        <v>158</v>
      </c>
      <c r="G836" s="75">
        <f>G837</f>
        <v>26.8</v>
      </c>
      <c r="H836" s="30"/>
      <c r="K836" s="75">
        <f>K837</f>
        <v>26.8</v>
      </c>
      <c r="L836" s="30"/>
      <c r="M836" s="83"/>
    </row>
    <row r="837" spans="1:13" ht="31.5">
      <c r="A837" s="36"/>
      <c r="B837" s="18" t="s">
        <v>165</v>
      </c>
      <c r="C837" s="22" t="s">
        <v>498</v>
      </c>
      <c r="D837" s="22" t="s">
        <v>126</v>
      </c>
      <c r="E837" s="22" t="s">
        <v>221</v>
      </c>
      <c r="F837" s="22" t="s">
        <v>164</v>
      </c>
      <c r="G837" s="75">
        <f>26.8</f>
        <v>26.8</v>
      </c>
      <c r="H837" s="30"/>
      <c r="K837" s="75">
        <f>26.8</f>
        <v>26.8</v>
      </c>
      <c r="L837" s="30"/>
      <c r="M837" s="83"/>
    </row>
    <row r="838" spans="1:13" ht="63">
      <c r="A838" s="36"/>
      <c r="B838" s="18" t="s">
        <v>499</v>
      </c>
      <c r="C838" s="22" t="s">
        <v>500</v>
      </c>
      <c r="D838" s="22" t="s">
        <v>126</v>
      </c>
      <c r="E838" s="22" t="s">
        <v>221</v>
      </c>
      <c r="F838" s="22"/>
      <c r="G838" s="75">
        <f>G839</f>
        <v>80.4</v>
      </c>
      <c r="H838" s="30"/>
      <c r="K838" s="75">
        <f>K839</f>
        <v>80.4</v>
      </c>
      <c r="L838" s="30"/>
      <c r="M838" s="83"/>
    </row>
    <row r="839" spans="1:13" ht="63">
      <c r="A839" s="36"/>
      <c r="B839" s="18" t="s">
        <v>170</v>
      </c>
      <c r="C839" s="22" t="s">
        <v>500</v>
      </c>
      <c r="D839" s="22" t="s">
        <v>126</v>
      </c>
      <c r="E839" s="22" t="s">
        <v>221</v>
      </c>
      <c r="F839" s="22" t="s">
        <v>168</v>
      </c>
      <c r="G839" s="75">
        <f>G840</f>
        <v>80.4</v>
      </c>
      <c r="H839" s="30"/>
      <c r="K839" s="75">
        <f>K840</f>
        <v>80.4</v>
      </c>
      <c r="L839" s="30"/>
      <c r="M839" s="83"/>
    </row>
    <row r="840" spans="1:13" ht="15.75">
      <c r="A840" s="36"/>
      <c r="B840" s="18" t="s">
        <v>189</v>
      </c>
      <c r="C840" s="22" t="s">
        <v>500</v>
      </c>
      <c r="D840" s="22" t="s">
        <v>126</v>
      </c>
      <c r="E840" s="22" t="s">
        <v>221</v>
      </c>
      <c r="F840" s="22" t="s">
        <v>190</v>
      </c>
      <c r="G840" s="75">
        <v>80.4</v>
      </c>
      <c r="H840" s="30"/>
      <c r="K840" s="75">
        <v>80.4</v>
      </c>
      <c r="L840" s="30"/>
      <c r="M840" s="83"/>
    </row>
    <row r="841" spans="1:13" ht="63">
      <c r="A841" s="36"/>
      <c r="B841" s="18" t="s">
        <v>501</v>
      </c>
      <c r="C841" s="22" t="s">
        <v>502</v>
      </c>
      <c r="D841" s="22" t="s">
        <v>126</v>
      </c>
      <c r="E841" s="22" t="s">
        <v>221</v>
      </c>
      <c r="F841" s="22"/>
      <c r="G841" s="75">
        <f>G842</f>
        <v>71.2</v>
      </c>
      <c r="H841" s="30"/>
      <c r="K841" s="75">
        <f>K842</f>
        <v>71.2</v>
      </c>
      <c r="L841" s="30"/>
      <c r="M841" s="83"/>
    </row>
    <row r="842" spans="1:13" ht="63">
      <c r="A842" s="36"/>
      <c r="B842" s="18" t="s">
        <v>170</v>
      </c>
      <c r="C842" s="22" t="s">
        <v>502</v>
      </c>
      <c r="D842" s="22" t="s">
        <v>126</v>
      </c>
      <c r="E842" s="22" t="s">
        <v>221</v>
      </c>
      <c r="F842" s="22" t="s">
        <v>168</v>
      </c>
      <c r="G842" s="75">
        <f>G843</f>
        <v>71.2</v>
      </c>
      <c r="H842" s="30"/>
      <c r="K842" s="75">
        <f>K843</f>
        <v>71.2</v>
      </c>
      <c r="L842" s="30"/>
      <c r="M842" s="83"/>
    </row>
    <row r="843" spans="1:13" ht="15.75">
      <c r="A843" s="36"/>
      <c r="B843" s="18" t="s">
        <v>189</v>
      </c>
      <c r="C843" s="22" t="s">
        <v>502</v>
      </c>
      <c r="D843" s="22" t="s">
        <v>126</v>
      </c>
      <c r="E843" s="22" t="s">
        <v>221</v>
      </c>
      <c r="F843" s="22" t="s">
        <v>190</v>
      </c>
      <c r="G843" s="75">
        <v>71.2</v>
      </c>
      <c r="H843" s="30"/>
      <c r="K843" s="75">
        <v>71.2</v>
      </c>
      <c r="L843" s="30"/>
      <c r="M843" s="83"/>
    </row>
    <row r="844" spans="1:13" ht="31.5">
      <c r="A844" s="36"/>
      <c r="B844" s="18" t="s">
        <v>54</v>
      </c>
      <c r="C844" s="22" t="s">
        <v>356</v>
      </c>
      <c r="D844" s="22" t="s">
        <v>126</v>
      </c>
      <c r="E844" s="22" t="s">
        <v>221</v>
      </c>
      <c r="F844" s="22"/>
      <c r="G844" s="21">
        <f>G845</f>
        <v>18196</v>
      </c>
      <c r="H844" s="21">
        <f>H845</f>
        <v>18196</v>
      </c>
      <c r="K844" s="21">
        <f>K845</f>
        <v>18193.5</v>
      </c>
      <c r="L844" s="21">
        <f>L845</f>
        <v>18193.5</v>
      </c>
      <c r="M844" s="83"/>
    </row>
    <row r="845" spans="1:13" ht="63">
      <c r="A845" s="36"/>
      <c r="B845" s="18" t="s">
        <v>170</v>
      </c>
      <c r="C845" s="22" t="s">
        <v>356</v>
      </c>
      <c r="D845" s="22" t="s">
        <v>126</v>
      </c>
      <c r="E845" s="22" t="s">
        <v>221</v>
      </c>
      <c r="F845" s="22" t="s">
        <v>168</v>
      </c>
      <c r="G845" s="21">
        <f>G846</f>
        <v>18196</v>
      </c>
      <c r="H845" s="21">
        <f>H846</f>
        <v>18196</v>
      </c>
      <c r="K845" s="21">
        <f>K846</f>
        <v>18193.5</v>
      </c>
      <c r="L845" s="21">
        <f>L846</f>
        <v>18193.5</v>
      </c>
      <c r="M845" s="83"/>
    </row>
    <row r="846" spans="1:13" ht="15.75">
      <c r="A846" s="36"/>
      <c r="B846" s="18" t="s">
        <v>171</v>
      </c>
      <c r="C846" s="22" t="s">
        <v>356</v>
      </c>
      <c r="D846" s="22" t="s">
        <v>126</v>
      </c>
      <c r="E846" s="22" t="s">
        <v>221</v>
      </c>
      <c r="F846" s="22" t="s">
        <v>169</v>
      </c>
      <c r="G846" s="21">
        <f>16783+1413</f>
        <v>18196</v>
      </c>
      <c r="H846" s="21">
        <f>G846</f>
        <v>18196</v>
      </c>
      <c r="K846" s="21">
        <v>18193.5</v>
      </c>
      <c r="L846" s="21">
        <f>K846</f>
        <v>18193.5</v>
      </c>
      <c r="M846" s="83"/>
    </row>
    <row r="847" spans="1:13" ht="15.75">
      <c r="A847" s="36"/>
      <c r="B847" s="18" t="s">
        <v>239</v>
      </c>
      <c r="C847" s="22" t="s">
        <v>287</v>
      </c>
      <c r="D847" s="22"/>
      <c r="E847" s="22"/>
      <c r="F847" s="22"/>
      <c r="G847" s="21">
        <f>G848+G860+G852+G855</f>
        <v>23117.399999999998</v>
      </c>
      <c r="H847" s="21">
        <f>H848+H860+H852+H855</f>
        <v>5315</v>
      </c>
      <c r="K847" s="21">
        <f>K848+K860+K852+K855</f>
        <v>22919.199999999997</v>
      </c>
      <c r="L847" s="21">
        <f>L848+L860+L852+L855</f>
        <v>5134.2</v>
      </c>
      <c r="M847" s="83"/>
    </row>
    <row r="848" spans="1:13" ht="31.5">
      <c r="A848" s="36"/>
      <c r="B848" s="60" t="s">
        <v>308</v>
      </c>
      <c r="C848" s="22" t="s">
        <v>287</v>
      </c>
      <c r="D848" s="22" t="s">
        <v>129</v>
      </c>
      <c r="E848" s="22" t="s">
        <v>137</v>
      </c>
      <c r="F848" s="22"/>
      <c r="G848" s="21">
        <f>G849</f>
        <v>17152.399999999998</v>
      </c>
      <c r="H848" s="30"/>
      <c r="K848" s="21">
        <f>K849</f>
        <v>17152.399999999998</v>
      </c>
      <c r="L848" s="30"/>
      <c r="M848" s="83"/>
    </row>
    <row r="849" spans="1:13" ht="15.75">
      <c r="A849" s="36"/>
      <c r="B849" s="60" t="s">
        <v>68</v>
      </c>
      <c r="C849" s="22" t="s">
        <v>69</v>
      </c>
      <c r="D849" s="22" t="s">
        <v>129</v>
      </c>
      <c r="E849" s="22" t="s">
        <v>137</v>
      </c>
      <c r="F849" s="22"/>
      <c r="G849" s="21">
        <f>G850</f>
        <v>17152.399999999998</v>
      </c>
      <c r="H849" s="30"/>
      <c r="K849" s="21">
        <f>K850</f>
        <v>17152.399999999998</v>
      </c>
      <c r="L849" s="30"/>
      <c r="M849" s="83"/>
    </row>
    <row r="850" spans="1:13" ht="31.5">
      <c r="A850" s="36"/>
      <c r="B850" s="60" t="s">
        <v>157</v>
      </c>
      <c r="C850" s="22" t="s">
        <v>69</v>
      </c>
      <c r="D850" s="22" t="s">
        <v>129</v>
      </c>
      <c r="E850" s="22" t="s">
        <v>137</v>
      </c>
      <c r="F850" s="22" t="s">
        <v>156</v>
      </c>
      <c r="G850" s="21">
        <f>G851</f>
        <v>17152.399999999998</v>
      </c>
      <c r="H850" s="30"/>
      <c r="K850" s="21">
        <f>K851</f>
        <v>17152.399999999998</v>
      </c>
      <c r="L850" s="30"/>
      <c r="M850" s="83"/>
    </row>
    <row r="851" spans="1:13" ht="15.75">
      <c r="A851" s="36"/>
      <c r="B851" s="61" t="s">
        <v>167</v>
      </c>
      <c r="C851" s="22" t="s">
        <v>69</v>
      </c>
      <c r="D851" s="22" t="s">
        <v>129</v>
      </c>
      <c r="E851" s="22" t="s">
        <v>137</v>
      </c>
      <c r="F851" s="22" t="s">
        <v>166</v>
      </c>
      <c r="G851" s="21">
        <f>16259.5+47.6+150+361.5+33.8+300</f>
        <v>17152.399999999998</v>
      </c>
      <c r="H851" s="30"/>
      <c r="K851" s="21">
        <f>16259.5+47.6+150+361.5+33.8+300</f>
        <v>17152.399999999998</v>
      </c>
      <c r="L851" s="30"/>
      <c r="M851" s="83"/>
    </row>
    <row r="852" spans="1:13" ht="94.5">
      <c r="A852" s="36"/>
      <c r="B852" s="18" t="s">
        <v>7</v>
      </c>
      <c r="C852" s="22" t="s">
        <v>355</v>
      </c>
      <c r="D852" s="22" t="s">
        <v>129</v>
      </c>
      <c r="E852" s="22" t="s">
        <v>137</v>
      </c>
      <c r="F852" s="22"/>
      <c r="G852" s="21">
        <f>G853</f>
        <v>3543</v>
      </c>
      <c r="H852" s="21">
        <f>H853</f>
        <v>3543</v>
      </c>
      <c r="K852" s="21">
        <f>K853</f>
        <v>3543</v>
      </c>
      <c r="L852" s="21">
        <f>L853</f>
        <v>3543</v>
      </c>
      <c r="M852" s="83"/>
    </row>
    <row r="853" spans="1:13" ht="63">
      <c r="A853" s="36"/>
      <c r="B853" s="18" t="s">
        <v>170</v>
      </c>
      <c r="C853" s="22" t="s">
        <v>355</v>
      </c>
      <c r="D853" s="22" t="s">
        <v>129</v>
      </c>
      <c r="E853" s="22" t="s">
        <v>137</v>
      </c>
      <c r="F853" s="22" t="s">
        <v>168</v>
      </c>
      <c r="G853" s="21">
        <f>G854</f>
        <v>3543</v>
      </c>
      <c r="H853" s="21">
        <f>H854</f>
        <v>3543</v>
      </c>
      <c r="K853" s="21">
        <f>K854</f>
        <v>3543</v>
      </c>
      <c r="L853" s="21">
        <f>L854</f>
        <v>3543</v>
      </c>
      <c r="M853" s="83"/>
    </row>
    <row r="854" spans="1:13" ht="15.75">
      <c r="A854" s="36"/>
      <c r="B854" s="18" t="s">
        <v>171</v>
      </c>
      <c r="C854" s="22" t="s">
        <v>355</v>
      </c>
      <c r="D854" s="22" t="s">
        <v>129</v>
      </c>
      <c r="E854" s="22" t="s">
        <v>137</v>
      </c>
      <c r="F854" s="22" t="s">
        <v>169</v>
      </c>
      <c r="G854" s="21">
        <f>3275+268</f>
        <v>3543</v>
      </c>
      <c r="H854" s="21">
        <f>G854</f>
        <v>3543</v>
      </c>
      <c r="K854" s="21">
        <f>3275+268</f>
        <v>3543</v>
      </c>
      <c r="L854" s="21">
        <f>K854</f>
        <v>3543</v>
      </c>
      <c r="M854" s="83"/>
    </row>
    <row r="855" spans="1:13" ht="165" customHeight="1">
      <c r="A855" s="36"/>
      <c r="B855" s="18" t="s">
        <v>548</v>
      </c>
      <c r="C855" s="22" t="s">
        <v>549</v>
      </c>
      <c r="D855" s="22" t="s">
        <v>129</v>
      </c>
      <c r="E855" s="22" t="s">
        <v>137</v>
      </c>
      <c r="F855" s="22"/>
      <c r="G855" s="21">
        <f>G856+G858</f>
        <v>1772</v>
      </c>
      <c r="H855" s="21">
        <f>H856+H858</f>
        <v>1772</v>
      </c>
      <c r="K855" s="21">
        <f>K856+K858</f>
        <v>1591.2</v>
      </c>
      <c r="L855" s="21">
        <f>L856+L858</f>
        <v>1591.2</v>
      </c>
      <c r="M855" s="83"/>
    </row>
    <row r="856" spans="1:13" ht="63">
      <c r="A856" s="36"/>
      <c r="B856" s="18" t="s">
        <v>170</v>
      </c>
      <c r="C856" s="22" t="s">
        <v>549</v>
      </c>
      <c r="D856" s="22" t="s">
        <v>129</v>
      </c>
      <c r="E856" s="22" t="s">
        <v>137</v>
      </c>
      <c r="F856" s="22" t="s">
        <v>168</v>
      </c>
      <c r="G856" s="21">
        <f>G857</f>
        <v>1196.4</v>
      </c>
      <c r="H856" s="21">
        <f>H857</f>
        <v>1196.4</v>
      </c>
      <c r="K856" s="21">
        <f>K857</f>
        <v>1195.2</v>
      </c>
      <c r="L856" s="21">
        <f>L857</f>
        <v>1195.2</v>
      </c>
      <c r="M856" s="83"/>
    </row>
    <row r="857" spans="1:13" ht="15.75">
      <c r="A857" s="36"/>
      <c r="B857" s="18" t="s">
        <v>171</v>
      </c>
      <c r="C857" s="22" t="s">
        <v>549</v>
      </c>
      <c r="D857" s="22" t="s">
        <v>129</v>
      </c>
      <c r="E857" s="22" t="s">
        <v>137</v>
      </c>
      <c r="F857" s="22" t="s">
        <v>169</v>
      </c>
      <c r="G857" s="21">
        <f>1772-297-278.6</f>
        <v>1196.4</v>
      </c>
      <c r="H857" s="21">
        <f>G857</f>
        <v>1196.4</v>
      </c>
      <c r="K857" s="21">
        <v>1195.2</v>
      </c>
      <c r="L857" s="21">
        <f>K857</f>
        <v>1195.2</v>
      </c>
      <c r="M857" s="83"/>
    </row>
    <row r="858" spans="1:13" ht="15.75">
      <c r="A858" s="36"/>
      <c r="B858" s="18" t="s">
        <v>159</v>
      </c>
      <c r="C858" s="22" t="s">
        <v>549</v>
      </c>
      <c r="D858" s="22" t="s">
        <v>129</v>
      </c>
      <c r="E858" s="22" t="s">
        <v>137</v>
      </c>
      <c r="F858" s="22" t="s">
        <v>158</v>
      </c>
      <c r="G858" s="21">
        <f>G859</f>
        <v>575.6</v>
      </c>
      <c r="H858" s="21">
        <f>H859</f>
        <v>575.6</v>
      </c>
      <c r="K858" s="21">
        <f>K859</f>
        <v>396</v>
      </c>
      <c r="L858" s="21">
        <f>L859</f>
        <v>396</v>
      </c>
      <c r="M858" s="83"/>
    </row>
    <row r="859" spans="1:13" ht="31.5">
      <c r="A859" s="36"/>
      <c r="B859" s="18" t="s">
        <v>165</v>
      </c>
      <c r="C859" s="22" t="s">
        <v>549</v>
      </c>
      <c r="D859" s="22" t="s">
        <v>129</v>
      </c>
      <c r="E859" s="22" t="s">
        <v>137</v>
      </c>
      <c r="F859" s="22" t="s">
        <v>164</v>
      </c>
      <c r="G859" s="21">
        <f>297+278.6</f>
        <v>575.6</v>
      </c>
      <c r="H859" s="21">
        <f>G859</f>
        <v>575.6</v>
      </c>
      <c r="K859" s="21">
        <v>396</v>
      </c>
      <c r="L859" s="21">
        <f>K859</f>
        <v>396</v>
      </c>
      <c r="M859" s="83"/>
    </row>
    <row r="860" spans="1:13" ht="31.5">
      <c r="A860" s="36"/>
      <c r="B860" s="18" t="s">
        <v>56</v>
      </c>
      <c r="C860" s="22" t="s">
        <v>57</v>
      </c>
      <c r="D860" s="22" t="s">
        <v>150</v>
      </c>
      <c r="E860" s="22" t="s">
        <v>129</v>
      </c>
      <c r="F860" s="22"/>
      <c r="G860" s="21">
        <f>G861</f>
        <v>650</v>
      </c>
      <c r="H860" s="30"/>
      <c r="K860" s="21">
        <f>K861</f>
        <v>632.6</v>
      </c>
      <c r="L860" s="30"/>
      <c r="M860" s="83"/>
    </row>
    <row r="861" spans="1:13" ht="15.75">
      <c r="A861" s="36"/>
      <c r="B861" s="18" t="s">
        <v>159</v>
      </c>
      <c r="C861" s="22" t="s">
        <v>57</v>
      </c>
      <c r="D861" s="22" t="s">
        <v>150</v>
      </c>
      <c r="E861" s="22" t="s">
        <v>129</v>
      </c>
      <c r="F861" s="22" t="s">
        <v>158</v>
      </c>
      <c r="G861" s="21">
        <f>G862</f>
        <v>650</v>
      </c>
      <c r="H861" s="30"/>
      <c r="K861" s="21">
        <f>K862</f>
        <v>632.6</v>
      </c>
      <c r="L861" s="30"/>
      <c r="M861" s="83"/>
    </row>
    <row r="862" spans="1:13" ht="31.5">
      <c r="A862" s="36"/>
      <c r="B862" s="18" t="s">
        <v>165</v>
      </c>
      <c r="C862" s="22" t="s">
        <v>57</v>
      </c>
      <c r="D862" s="22" t="s">
        <v>150</v>
      </c>
      <c r="E862" s="22" t="s">
        <v>129</v>
      </c>
      <c r="F862" s="22" t="s">
        <v>164</v>
      </c>
      <c r="G862" s="21">
        <f>650</f>
        <v>650</v>
      </c>
      <c r="H862" s="30"/>
      <c r="K862" s="21">
        <v>632.6</v>
      </c>
      <c r="L862" s="30"/>
      <c r="M862" s="83"/>
    </row>
    <row r="863" spans="1:13" s="10" customFormat="1" ht="63">
      <c r="A863" s="15">
        <v>13</v>
      </c>
      <c r="B863" s="32" t="s">
        <v>2</v>
      </c>
      <c r="C863" s="41" t="s">
        <v>78</v>
      </c>
      <c r="D863" s="20"/>
      <c r="E863" s="20"/>
      <c r="F863" s="19"/>
      <c r="G863" s="40">
        <f>G864+G871+G880</f>
        <v>54195</v>
      </c>
      <c r="H863" s="40">
        <f>H864+H871+H878</f>
        <v>1370</v>
      </c>
      <c r="K863" s="40">
        <f>K864+K871+K880</f>
        <v>54185.2</v>
      </c>
      <c r="L863" s="40">
        <f>L864+L871+L878</f>
        <v>1370</v>
      </c>
      <c r="M863" s="31">
        <f>K863/G863*100</f>
        <v>99.98191715102868</v>
      </c>
    </row>
    <row r="864" spans="1:13" s="10" customFormat="1" ht="15.75">
      <c r="A864" s="5"/>
      <c r="B864" s="53" t="s">
        <v>211</v>
      </c>
      <c r="C864" s="19" t="s">
        <v>294</v>
      </c>
      <c r="D864" s="22" t="s">
        <v>137</v>
      </c>
      <c r="E864" s="22" t="s">
        <v>126</v>
      </c>
      <c r="F864" s="19"/>
      <c r="G864" s="21">
        <f>G868+G865</f>
        <v>32425</v>
      </c>
      <c r="H864" s="21">
        <f>H868+H865</f>
        <v>900</v>
      </c>
      <c r="K864" s="21">
        <f>K868+K865</f>
        <v>32425</v>
      </c>
      <c r="L864" s="21">
        <f>L868+L865</f>
        <v>900</v>
      </c>
      <c r="M864" s="87"/>
    </row>
    <row r="865" spans="1:13" s="10" customFormat="1" ht="47.25">
      <c r="A865" s="5"/>
      <c r="B865" s="53" t="s">
        <v>529</v>
      </c>
      <c r="C865" s="19" t="s">
        <v>569</v>
      </c>
      <c r="D865" s="22" t="s">
        <v>137</v>
      </c>
      <c r="E865" s="22" t="s">
        <v>126</v>
      </c>
      <c r="F865" s="19"/>
      <c r="G865" s="21">
        <f>G866</f>
        <v>900</v>
      </c>
      <c r="H865" s="21">
        <f>H866</f>
        <v>900</v>
      </c>
      <c r="K865" s="21">
        <f>K866</f>
        <v>900</v>
      </c>
      <c r="L865" s="21">
        <f>L866</f>
        <v>900</v>
      </c>
      <c r="M865" s="87"/>
    </row>
    <row r="866" spans="1:13" s="10" customFormat="1" ht="31.5">
      <c r="A866" s="5"/>
      <c r="B866" s="53" t="s">
        <v>157</v>
      </c>
      <c r="C866" s="19" t="s">
        <v>569</v>
      </c>
      <c r="D866" s="22" t="s">
        <v>137</v>
      </c>
      <c r="E866" s="22" t="s">
        <v>126</v>
      </c>
      <c r="F866" s="19" t="s">
        <v>156</v>
      </c>
      <c r="G866" s="21">
        <f>G867</f>
        <v>900</v>
      </c>
      <c r="H866" s="21">
        <f>H867</f>
        <v>900</v>
      </c>
      <c r="K866" s="21">
        <f>K867</f>
        <v>900</v>
      </c>
      <c r="L866" s="21">
        <f>L867</f>
        <v>900</v>
      </c>
      <c r="M866" s="87"/>
    </row>
    <row r="867" spans="1:13" s="10" customFormat="1" ht="15.75">
      <c r="A867" s="5"/>
      <c r="B867" s="53" t="s">
        <v>213</v>
      </c>
      <c r="C867" s="19" t="s">
        <v>569</v>
      </c>
      <c r="D867" s="22" t="s">
        <v>137</v>
      </c>
      <c r="E867" s="22" t="s">
        <v>126</v>
      </c>
      <c r="F867" s="19" t="s">
        <v>214</v>
      </c>
      <c r="G867" s="21">
        <f>500+400</f>
        <v>900</v>
      </c>
      <c r="H867" s="21">
        <f>G867</f>
        <v>900</v>
      </c>
      <c r="K867" s="21">
        <f>500+400</f>
        <v>900</v>
      </c>
      <c r="L867" s="21">
        <f>K867</f>
        <v>900</v>
      </c>
      <c r="M867" s="87"/>
    </row>
    <row r="868" spans="1:13" ht="31.5">
      <c r="A868" s="29"/>
      <c r="B868" s="53" t="s">
        <v>212</v>
      </c>
      <c r="C868" s="19" t="s">
        <v>294</v>
      </c>
      <c r="D868" s="22" t="s">
        <v>137</v>
      </c>
      <c r="E868" s="22" t="s">
        <v>126</v>
      </c>
      <c r="F868" s="19"/>
      <c r="G868" s="21">
        <f>G869</f>
        <v>31525</v>
      </c>
      <c r="H868" s="23"/>
      <c r="K868" s="21">
        <f>K869</f>
        <v>31525</v>
      </c>
      <c r="L868" s="23"/>
      <c r="M868" s="83"/>
    </row>
    <row r="869" spans="1:13" ht="15.75">
      <c r="A869" s="29"/>
      <c r="B869" s="53" t="s">
        <v>159</v>
      </c>
      <c r="C869" s="19" t="s">
        <v>294</v>
      </c>
      <c r="D869" s="22" t="s">
        <v>137</v>
      </c>
      <c r="E869" s="22" t="s">
        <v>126</v>
      </c>
      <c r="F869" s="19" t="s">
        <v>158</v>
      </c>
      <c r="G869" s="21">
        <f>G870</f>
        <v>31525</v>
      </c>
      <c r="H869" s="23"/>
      <c r="K869" s="21">
        <f>K870</f>
        <v>31525</v>
      </c>
      <c r="L869" s="23"/>
      <c r="M869" s="83"/>
    </row>
    <row r="870" spans="1:13" ht="31.5">
      <c r="A870" s="29"/>
      <c r="B870" s="53" t="s">
        <v>165</v>
      </c>
      <c r="C870" s="19" t="s">
        <v>294</v>
      </c>
      <c r="D870" s="22" t="s">
        <v>137</v>
      </c>
      <c r="E870" s="22" t="s">
        <v>126</v>
      </c>
      <c r="F870" s="19" t="s">
        <v>164</v>
      </c>
      <c r="G870" s="21">
        <f>16000+525+15000</f>
        <v>31525</v>
      </c>
      <c r="H870" s="23"/>
      <c r="K870" s="21">
        <f>16000+525+15000</f>
        <v>31525</v>
      </c>
      <c r="L870" s="23"/>
      <c r="M870" s="83"/>
    </row>
    <row r="871" spans="1:13" ht="15.75">
      <c r="A871" s="29"/>
      <c r="B871" s="53" t="s">
        <v>215</v>
      </c>
      <c r="C871" s="19" t="s">
        <v>294</v>
      </c>
      <c r="D871" s="22" t="s">
        <v>137</v>
      </c>
      <c r="E871" s="22" t="s">
        <v>150</v>
      </c>
      <c r="F871" s="19"/>
      <c r="G871" s="21">
        <f>G875+G872</f>
        <v>19970</v>
      </c>
      <c r="H871" s="21">
        <f>H875+H872</f>
        <v>470</v>
      </c>
      <c r="K871" s="21">
        <f>K875+K872</f>
        <v>19962.2</v>
      </c>
      <c r="L871" s="21">
        <f>L875+L872</f>
        <v>470</v>
      </c>
      <c r="M871" s="83"/>
    </row>
    <row r="872" spans="1:13" ht="47.25">
      <c r="A872" s="29"/>
      <c r="B872" s="53" t="s">
        <v>529</v>
      </c>
      <c r="C872" s="19" t="s">
        <v>569</v>
      </c>
      <c r="D872" s="22" t="s">
        <v>137</v>
      </c>
      <c r="E872" s="22" t="s">
        <v>150</v>
      </c>
      <c r="F872" s="19"/>
      <c r="G872" s="21">
        <f>G873</f>
        <v>470</v>
      </c>
      <c r="H872" s="21">
        <f>H873</f>
        <v>470</v>
      </c>
      <c r="K872" s="21">
        <f>K873</f>
        <v>470</v>
      </c>
      <c r="L872" s="21">
        <f>L873</f>
        <v>470</v>
      </c>
      <c r="M872" s="83"/>
    </row>
    <row r="873" spans="1:13" ht="31.5">
      <c r="A873" s="29"/>
      <c r="B873" s="53" t="s">
        <v>157</v>
      </c>
      <c r="C873" s="19" t="s">
        <v>569</v>
      </c>
      <c r="D873" s="22" t="s">
        <v>137</v>
      </c>
      <c r="E873" s="22" t="s">
        <v>150</v>
      </c>
      <c r="F873" s="19" t="s">
        <v>156</v>
      </c>
      <c r="G873" s="21">
        <f>G874</f>
        <v>470</v>
      </c>
      <c r="H873" s="21">
        <f>H874</f>
        <v>470</v>
      </c>
      <c r="K873" s="21">
        <f>K874</f>
        <v>470</v>
      </c>
      <c r="L873" s="21">
        <f>L874</f>
        <v>470</v>
      </c>
      <c r="M873" s="83"/>
    </row>
    <row r="874" spans="1:13" ht="15.75">
      <c r="A874" s="29"/>
      <c r="B874" s="53" t="s">
        <v>213</v>
      </c>
      <c r="C874" s="19" t="s">
        <v>569</v>
      </c>
      <c r="D874" s="22" t="s">
        <v>137</v>
      </c>
      <c r="E874" s="22" t="s">
        <v>150</v>
      </c>
      <c r="F874" s="19" t="s">
        <v>214</v>
      </c>
      <c r="G874" s="21">
        <f>300+170</f>
        <v>470</v>
      </c>
      <c r="H874" s="21">
        <f>G874</f>
        <v>470</v>
      </c>
      <c r="K874" s="21">
        <f>300+170</f>
        <v>470</v>
      </c>
      <c r="L874" s="21">
        <f>K874</f>
        <v>470</v>
      </c>
      <c r="M874" s="83"/>
    </row>
    <row r="875" spans="1:13" ht="15.75">
      <c r="A875" s="29"/>
      <c r="B875" s="53" t="s">
        <v>216</v>
      </c>
      <c r="C875" s="19" t="s">
        <v>294</v>
      </c>
      <c r="D875" s="22" t="s">
        <v>137</v>
      </c>
      <c r="E875" s="22" t="s">
        <v>150</v>
      </c>
      <c r="F875" s="19"/>
      <c r="G875" s="21">
        <f>G876+G878</f>
        <v>19500</v>
      </c>
      <c r="H875" s="23"/>
      <c r="K875" s="21">
        <f>K876+K878</f>
        <v>19492.2</v>
      </c>
      <c r="L875" s="23"/>
      <c r="M875" s="83"/>
    </row>
    <row r="876" spans="1:13" ht="31.5">
      <c r="A876" s="29"/>
      <c r="B876" s="53" t="s">
        <v>157</v>
      </c>
      <c r="C876" s="19" t="s">
        <v>294</v>
      </c>
      <c r="D876" s="22" t="s">
        <v>137</v>
      </c>
      <c r="E876" s="22" t="s">
        <v>150</v>
      </c>
      <c r="F876" s="19" t="s">
        <v>156</v>
      </c>
      <c r="G876" s="21">
        <f>G877</f>
        <v>17000</v>
      </c>
      <c r="H876" s="23"/>
      <c r="K876" s="21">
        <f>K877</f>
        <v>17000</v>
      </c>
      <c r="L876" s="23"/>
      <c r="M876" s="83"/>
    </row>
    <row r="877" spans="1:13" ht="15.75">
      <c r="A877" s="29"/>
      <c r="B877" s="53" t="s">
        <v>213</v>
      </c>
      <c r="C877" s="19" t="s">
        <v>294</v>
      </c>
      <c r="D877" s="22" t="s">
        <v>137</v>
      </c>
      <c r="E877" s="22" t="s">
        <v>150</v>
      </c>
      <c r="F877" s="19" t="s">
        <v>214</v>
      </c>
      <c r="G877" s="21">
        <f>12000+5000</f>
        <v>17000</v>
      </c>
      <c r="H877" s="23"/>
      <c r="K877" s="21">
        <f>12000+5000</f>
        <v>17000</v>
      </c>
      <c r="L877" s="23"/>
      <c r="M877" s="83"/>
    </row>
    <row r="878" spans="1:13" ht="15.75">
      <c r="A878" s="29"/>
      <c r="B878" s="53" t="s">
        <v>159</v>
      </c>
      <c r="C878" s="19" t="s">
        <v>294</v>
      </c>
      <c r="D878" s="22" t="s">
        <v>137</v>
      </c>
      <c r="E878" s="22" t="s">
        <v>150</v>
      </c>
      <c r="F878" s="19" t="s">
        <v>158</v>
      </c>
      <c r="G878" s="21">
        <f>G879</f>
        <v>2500</v>
      </c>
      <c r="H878" s="23"/>
      <c r="K878" s="21">
        <f>K879</f>
        <v>2492.2</v>
      </c>
      <c r="L878" s="23"/>
      <c r="M878" s="83"/>
    </row>
    <row r="879" spans="1:13" ht="31.5">
      <c r="A879" s="29"/>
      <c r="B879" s="53" t="s">
        <v>165</v>
      </c>
      <c r="C879" s="19" t="s">
        <v>294</v>
      </c>
      <c r="D879" s="22" t="s">
        <v>137</v>
      </c>
      <c r="E879" s="22" t="s">
        <v>150</v>
      </c>
      <c r="F879" s="19" t="s">
        <v>164</v>
      </c>
      <c r="G879" s="21">
        <f>1000+1500</f>
        <v>2500</v>
      </c>
      <c r="H879" s="23"/>
      <c r="K879" s="21">
        <v>2492.2</v>
      </c>
      <c r="L879" s="23"/>
      <c r="M879" s="83"/>
    </row>
    <row r="880" spans="1:13" ht="15.75">
      <c r="A880" s="29"/>
      <c r="B880" s="24" t="s">
        <v>29</v>
      </c>
      <c r="C880" s="25" t="s">
        <v>405</v>
      </c>
      <c r="D880" s="25" t="s">
        <v>137</v>
      </c>
      <c r="E880" s="25" t="s">
        <v>129</v>
      </c>
      <c r="F880" s="19"/>
      <c r="G880" s="21">
        <f>G884+G881</f>
        <v>1800</v>
      </c>
      <c r="H880" s="23"/>
      <c r="K880" s="21">
        <f>K884+K881</f>
        <v>1798</v>
      </c>
      <c r="L880" s="23"/>
      <c r="M880" s="83"/>
    </row>
    <row r="881" spans="1:13" ht="15.75">
      <c r="A881" s="29"/>
      <c r="B881" s="24" t="s">
        <v>419</v>
      </c>
      <c r="C881" s="25" t="s">
        <v>420</v>
      </c>
      <c r="D881" s="25" t="s">
        <v>137</v>
      </c>
      <c r="E881" s="25" t="s">
        <v>129</v>
      </c>
      <c r="F881" s="19"/>
      <c r="G881" s="21">
        <f>G882</f>
        <v>800</v>
      </c>
      <c r="H881" s="23"/>
      <c r="K881" s="21">
        <f>K882</f>
        <v>799</v>
      </c>
      <c r="L881" s="23"/>
      <c r="M881" s="83"/>
    </row>
    <row r="882" spans="1:13" ht="15.75">
      <c r="A882" s="29"/>
      <c r="B882" s="24" t="s">
        <v>159</v>
      </c>
      <c r="C882" s="25" t="s">
        <v>420</v>
      </c>
      <c r="D882" s="25" t="s">
        <v>137</v>
      </c>
      <c r="E882" s="25" t="s">
        <v>129</v>
      </c>
      <c r="F882" s="19" t="s">
        <v>158</v>
      </c>
      <c r="G882" s="21">
        <f>G883</f>
        <v>800</v>
      </c>
      <c r="H882" s="23"/>
      <c r="K882" s="21">
        <f>K883</f>
        <v>799</v>
      </c>
      <c r="L882" s="23"/>
      <c r="M882" s="83"/>
    </row>
    <row r="883" spans="1:13" ht="31.5">
      <c r="A883" s="29"/>
      <c r="B883" s="24" t="s">
        <v>165</v>
      </c>
      <c r="C883" s="25" t="s">
        <v>420</v>
      </c>
      <c r="D883" s="25" t="s">
        <v>137</v>
      </c>
      <c r="E883" s="25" t="s">
        <v>129</v>
      </c>
      <c r="F883" s="19" t="s">
        <v>164</v>
      </c>
      <c r="G883" s="21">
        <f>800</f>
        <v>800</v>
      </c>
      <c r="H883" s="23"/>
      <c r="K883" s="21">
        <v>799</v>
      </c>
      <c r="L883" s="23"/>
      <c r="M883" s="83"/>
    </row>
    <row r="884" spans="1:13" ht="15.75">
      <c r="A884" s="29"/>
      <c r="B884" s="24" t="s">
        <v>29</v>
      </c>
      <c r="C884" s="25" t="s">
        <v>343</v>
      </c>
      <c r="D884" s="25" t="s">
        <v>137</v>
      </c>
      <c r="E884" s="25" t="s">
        <v>129</v>
      </c>
      <c r="F884" s="19"/>
      <c r="G884" s="21">
        <f>G885</f>
        <v>1000</v>
      </c>
      <c r="H884" s="23"/>
      <c r="K884" s="21">
        <f>K885</f>
        <v>999</v>
      </c>
      <c r="L884" s="23"/>
      <c r="M884" s="83"/>
    </row>
    <row r="885" spans="1:13" ht="15.75">
      <c r="A885" s="29"/>
      <c r="B885" s="18" t="s">
        <v>159</v>
      </c>
      <c r="C885" s="25" t="s">
        <v>343</v>
      </c>
      <c r="D885" s="25" t="s">
        <v>137</v>
      </c>
      <c r="E885" s="25" t="s">
        <v>129</v>
      </c>
      <c r="F885" s="19" t="s">
        <v>158</v>
      </c>
      <c r="G885" s="21">
        <f>G886</f>
        <v>1000</v>
      </c>
      <c r="H885" s="23"/>
      <c r="K885" s="21">
        <f>K886</f>
        <v>999</v>
      </c>
      <c r="L885" s="23"/>
      <c r="M885" s="83"/>
    </row>
    <row r="886" spans="1:13" ht="31.5">
      <c r="A886" s="29"/>
      <c r="B886" s="18" t="s">
        <v>165</v>
      </c>
      <c r="C886" s="25" t="s">
        <v>343</v>
      </c>
      <c r="D886" s="25" t="s">
        <v>137</v>
      </c>
      <c r="E886" s="25" t="s">
        <v>129</v>
      </c>
      <c r="F886" s="19" t="s">
        <v>164</v>
      </c>
      <c r="G886" s="21">
        <f>1000</f>
        <v>1000</v>
      </c>
      <c r="H886" s="23"/>
      <c r="K886" s="21">
        <v>999</v>
      </c>
      <c r="L886" s="23"/>
      <c r="M886" s="83"/>
    </row>
    <row r="887" spans="1:13" ht="63">
      <c r="A887" s="5">
        <v>14</v>
      </c>
      <c r="B887" s="58" t="s">
        <v>333</v>
      </c>
      <c r="C887" s="38" t="s">
        <v>309</v>
      </c>
      <c r="D887" s="42"/>
      <c r="E887" s="42"/>
      <c r="F887" s="41"/>
      <c r="G887" s="40">
        <f>G888+G901</f>
        <v>418659.30000000005</v>
      </c>
      <c r="H887" s="40">
        <f>H888+H901</f>
        <v>155204</v>
      </c>
      <c r="K887" s="40">
        <f>K888+K901</f>
        <v>400131.49999999994</v>
      </c>
      <c r="L887" s="40">
        <f>L888+L901</f>
        <v>144388.6</v>
      </c>
      <c r="M887" s="31">
        <f>K887/G887*100</f>
        <v>95.57449219448843</v>
      </c>
    </row>
    <row r="888" spans="1:13" ht="47.25">
      <c r="A888" s="5"/>
      <c r="B888" s="24" t="s">
        <v>36</v>
      </c>
      <c r="C888" s="24" t="s">
        <v>35</v>
      </c>
      <c r="D888" s="22" t="s">
        <v>129</v>
      </c>
      <c r="E888" s="22" t="s">
        <v>130</v>
      </c>
      <c r="F888" s="41"/>
      <c r="G888" s="21">
        <f>G889+G897</f>
        <v>16793.9</v>
      </c>
      <c r="H888" s="21">
        <f>H889+H897</f>
        <v>0</v>
      </c>
      <c r="K888" s="21">
        <f>K889+K897</f>
        <v>16789.7</v>
      </c>
      <c r="L888" s="21">
        <f>L889+L897</f>
        <v>0</v>
      </c>
      <c r="M888" s="83"/>
    </row>
    <row r="889" spans="1:13" ht="63">
      <c r="A889" s="29"/>
      <c r="B889" s="24" t="s">
        <v>223</v>
      </c>
      <c r="C889" s="24" t="s">
        <v>37</v>
      </c>
      <c r="D889" s="22" t="s">
        <v>129</v>
      </c>
      <c r="E889" s="22" t="s">
        <v>130</v>
      </c>
      <c r="F889" s="24"/>
      <c r="G889" s="21">
        <f>G890+G892</f>
        <v>16793.9</v>
      </c>
      <c r="H889" s="23"/>
      <c r="K889" s="21">
        <f>K890+K892</f>
        <v>16789.7</v>
      </c>
      <c r="L889" s="23"/>
      <c r="M889" s="83"/>
    </row>
    <row r="890" spans="1:13" ht="15.75">
      <c r="A890" s="29"/>
      <c r="B890" s="18" t="s">
        <v>159</v>
      </c>
      <c r="C890" s="24" t="s">
        <v>37</v>
      </c>
      <c r="D890" s="22" t="s">
        <v>129</v>
      </c>
      <c r="E890" s="22" t="s">
        <v>130</v>
      </c>
      <c r="F890" s="24" t="s">
        <v>158</v>
      </c>
      <c r="G890" s="21">
        <f>G891</f>
        <v>1010</v>
      </c>
      <c r="H890" s="23"/>
      <c r="K890" s="21">
        <f>K891</f>
        <v>1005.8</v>
      </c>
      <c r="L890" s="23"/>
      <c r="M890" s="83"/>
    </row>
    <row r="891" spans="1:13" ht="31.5">
      <c r="A891" s="29"/>
      <c r="B891" s="18" t="s">
        <v>165</v>
      </c>
      <c r="C891" s="24" t="s">
        <v>37</v>
      </c>
      <c r="D891" s="22" t="s">
        <v>129</v>
      </c>
      <c r="E891" s="22" t="s">
        <v>130</v>
      </c>
      <c r="F891" s="24" t="s">
        <v>164</v>
      </c>
      <c r="G891" s="21">
        <f>1010</f>
        <v>1010</v>
      </c>
      <c r="H891" s="23"/>
      <c r="K891" s="21">
        <v>1005.8</v>
      </c>
      <c r="L891" s="23"/>
      <c r="M891" s="83"/>
    </row>
    <row r="892" spans="1:13" ht="15.75">
      <c r="A892" s="29"/>
      <c r="B892" s="18" t="s">
        <v>86</v>
      </c>
      <c r="C892" s="24" t="s">
        <v>38</v>
      </c>
      <c r="D892" s="22" t="s">
        <v>129</v>
      </c>
      <c r="E892" s="22" t="s">
        <v>130</v>
      </c>
      <c r="F892" s="24"/>
      <c r="G892" s="21">
        <f>G893+G895</f>
        <v>15783.9</v>
      </c>
      <c r="H892" s="23"/>
      <c r="K892" s="21">
        <f>K893+K895</f>
        <v>15783.9</v>
      </c>
      <c r="L892" s="23"/>
      <c r="M892" s="83"/>
    </row>
    <row r="893" spans="1:13" ht="15.75">
      <c r="A893" s="29"/>
      <c r="B893" s="18" t="s">
        <v>159</v>
      </c>
      <c r="C893" s="24" t="s">
        <v>38</v>
      </c>
      <c r="D893" s="22" t="s">
        <v>129</v>
      </c>
      <c r="E893" s="22" t="s">
        <v>130</v>
      </c>
      <c r="F893" s="24" t="s">
        <v>158</v>
      </c>
      <c r="G893" s="21">
        <f>G894</f>
        <v>15211.6</v>
      </c>
      <c r="H893" s="23"/>
      <c r="K893" s="21">
        <f>K894</f>
        <v>15211.6</v>
      </c>
      <c r="L893" s="23"/>
      <c r="M893" s="83"/>
    </row>
    <row r="894" spans="1:13" ht="31.5">
      <c r="A894" s="29"/>
      <c r="B894" s="18" t="s">
        <v>165</v>
      </c>
      <c r="C894" s="24" t="s">
        <v>38</v>
      </c>
      <c r="D894" s="22" t="s">
        <v>129</v>
      </c>
      <c r="E894" s="22" t="s">
        <v>130</v>
      </c>
      <c r="F894" s="24" t="s">
        <v>164</v>
      </c>
      <c r="G894" s="21">
        <f>15211.6</f>
        <v>15211.6</v>
      </c>
      <c r="H894" s="23"/>
      <c r="K894" s="21">
        <f>15211.6</f>
        <v>15211.6</v>
      </c>
      <c r="L894" s="23"/>
      <c r="M894" s="83"/>
    </row>
    <row r="895" spans="1:13" ht="15.75">
      <c r="A895" s="29"/>
      <c r="B895" s="18" t="s">
        <v>184</v>
      </c>
      <c r="C895" s="24" t="s">
        <v>38</v>
      </c>
      <c r="D895" s="22" t="s">
        <v>129</v>
      </c>
      <c r="E895" s="22" t="s">
        <v>130</v>
      </c>
      <c r="F895" s="24" t="s">
        <v>185</v>
      </c>
      <c r="G895" s="21">
        <f>G896</f>
        <v>572.3</v>
      </c>
      <c r="H895" s="23"/>
      <c r="K895" s="21">
        <f>K896</f>
        <v>572.3</v>
      </c>
      <c r="L895" s="23"/>
      <c r="M895" s="83"/>
    </row>
    <row r="896" spans="1:13" ht="15.75">
      <c r="A896" s="29"/>
      <c r="B896" s="18" t="s">
        <v>224</v>
      </c>
      <c r="C896" s="24" t="s">
        <v>38</v>
      </c>
      <c r="D896" s="22" t="s">
        <v>129</v>
      </c>
      <c r="E896" s="22" t="s">
        <v>130</v>
      </c>
      <c r="F896" s="24" t="s">
        <v>225</v>
      </c>
      <c r="G896" s="21">
        <f>572.3</f>
        <v>572.3</v>
      </c>
      <c r="H896" s="23"/>
      <c r="K896" s="21">
        <f>572.3</f>
        <v>572.3</v>
      </c>
      <c r="L896" s="23"/>
      <c r="M896" s="83"/>
    </row>
    <row r="897" spans="1:13" ht="53.25" customHeight="1">
      <c r="A897" s="29"/>
      <c r="B897" s="18" t="s">
        <v>424</v>
      </c>
      <c r="C897" s="24" t="s">
        <v>582</v>
      </c>
      <c r="D897" s="22" t="s">
        <v>129</v>
      </c>
      <c r="E897" s="22" t="s">
        <v>130</v>
      </c>
      <c r="F897" s="24"/>
      <c r="G897" s="21">
        <f>G898</f>
        <v>0</v>
      </c>
      <c r="H897" s="21">
        <f>H898</f>
        <v>0</v>
      </c>
      <c r="K897" s="21">
        <f>K898</f>
        <v>0</v>
      </c>
      <c r="L897" s="21">
        <f>L898</f>
        <v>0</v>
      </c>
      <c r="M897" s="83"/>
    </row>
    <row r="898" spans="1:13" ht="15.75">
      <c r="A898" s="29"/>
      <c r="B898" s="18" t="s">
        <v>159</v>
      </c>
      <c r="C898" s="24" t="s">
        <v>582</v>
      </c>
      <c r="D898" s="22" t="s">
        <v>129</v>
      </c>
      <c r="E898" s="22" t="s">
        <v>130</v>
      </c>
      <c r="F898" s="24" t="s">
        <v>158</v>
      </c>
      <c r="G898" s="21">
        <f>G899</f>
        <v>0</v>
      </c>
      <c r="H898" s="21">
        <f>H899</f>
        <v>0</v>
      </c>
      <c r="K898" s="21">
        <f>K899</f>
        <v>0</v>
      </c>
      <c r="L898" s="21">
        <f>L899</f>
        <v>0</v>
      </c>
      <c r="M898" s="83"/>
    </row>
    <row r="899" spans="1:13" ht="31.5">
      <c r="A899" s="29"/>
      <c r="B899" s="18" t="s">
        <v>165</v>
      </c>
      <c r="C899" s="24" t="s">
        <v>582</v>
      </c>
      <c r="D899" s="22" t="s">
        <v>129</v>
      </c>
      <c r="E899" s="22" t="s">
        <v>130</v>
      </c>
      <c r="F899" s="24" t="s">
        <v>164</v>
      </c>
      <c r="G899" s="21">
        <v>0</v>
      </c>
      <c r="H899" s="21">
        <f>G899</f>
        <v>0</v>
      </c>
      <c r="K899" s="21">
        <v>0</v>
      </c>
      <c r="L899" s="21">
        <f>K899</f>
        <v>0</v>
      </c>
      <c r="M899" s="83"/>
    </row>
    <row r="900" spans="1:13" ht="15.75">
      <c r="A900" s="29"/>
      <c r="B900" s="18" t="s">
        <v>226</v>
      </c>
      <c r="C900" s="24" t="s">
        <v>309</v>
      </c>
      <c r="D900" s="22" t="s">
        <v>129</v>
      </c>
      <c r="E900" s="22" t="s">
        <v>125</v>
      </c>
      <c r="F900" s="24"/>
      <c r="G900" s="21">
        <f>G901</f>
        <v>401865.4</v>
      </c>
      <c r="H900" s="21">
        <f>H901</f>
        <v>155204</v>
      </c>
      <c r="K900" s="21">
        <f>K901</f>
        <v>383341.79999999993</v>
      </c>
      <c r="L900" s="21">
        <f>L901</f>
        <v>144388.6</v>
      </c>
      <c r="M900" s="83"/>
    </row>
    <row r="901" spans="1:13" ht="47.25">
      <c r="A901" s="29"/>
      <c r="B901" s="18" t="s">
        <v>39</v>
      </c>
      <c r="C901" s="24" t="s">
        <v>40</v>
      </c>
      <c r="D901" s="22" t="s">
        <v>129</v>
      </c>
      <c r="E901" s="22" t="s">
        <v>125</v>
      </c>
      <c r="F901" s="24"/>
      <c r="G901" s="21">
        <f>G902+G912+G918+G921+G924+G936+G906+G927+G930+G933+G909+G915</f>
        <v>401865.4</v>
      </c>
      <c r="H901" s="21">
        <f>H902+H912+H918+H921+H924+H936+H906+H927+H930+H933+H909+H915</f>
        <v>155204</v>
      </c>
      <c r="K901" s="21">
        <f>K902+K912+K918+K921+K924+K936+K906+K927+K930+K933+K909+K915</f>
        <v>383341.79999999993</v>
      </c>
      <c r="L901" s="21">
        <f>L902+L912+L918+L921+L924+L936+L906+L927+L930+L933+L909+L915</f>
        <v>144388.6</v>
      </c>
      <c r="M901" s="83"/>
    </row>
    <row r="902" spans="1:13" ht="31.5">
      <c r="A902" s="29"/>
      <c r="B902" s="18" t="s">
        <v>308</v>
      </c>
      <c r="C902" s="24" t="s">
        <v>41</v>
      </c>
      <c r="D902" s="22" t="s">
        <v>129</v>
      </c>
      <c r="E902" s="22" t="s">
        <v>125</v>
      </c>
      <c r="F902" s="24"/>
      <c r="G902" s="21">
        <f>G903</f>
        <v>61394.899999999994</v>
      </c>
      <c r="H902" s="23"/>
      <c r="K902" s="21">
        <f>K903</f>
        <v>61394.899999999994</v>
      </c>
      <c r="L902" s="23"/>
      <c r="M902" s="83"/>
    </row>
    <row r="903" spans="1:14" ht="31.5">
      <c r="A903" s="29"/>
      <c r="B903" s="18" t="s">
        <v>85</v>
      </c>
      <c r="C903" s="24" t="s">
        <v>41</v>
      </c>
      <c r="D903" s="22" t="s">
        <v>129</v>
      </c>
      <c r="E903" s="22" t="s">
        <v>125</v>
      </c>
      <c r="F903" s="24"/>
      <c r="G903" s="21">
        <f>G904</f>
        <v>61394.899999999994</v>
      </c>
      <c r="H903" s="23"/>
      <c r="K903" s="21">
        <f>K904</f>
        <v>61394.899999999994</v>
      </c>
      <c r="L903" s="23"/>
      <c r="M903" s="83"/>
      <c r="N903" s="79">
        <f>G889+G902+G912+G915</f>
        <v>89177.79999999999</v>
      </c>
    </row>
    <row r="904" spans="1:14" ht="31.5">
      <c r="A904" s="29"/>
      <c r="B904" s="18" t="s">
        <v>157</v>
      </c>
      <c r="C904" s="24" t="s">
        <v>41</v>
      </c>
      <c r="D904" s="22" t="s">
        <v>129</v>
      </c>
      <c r="E904" s="22" t="s">
        <v>125</v>
      </c>
      <c r="F904" s="24" t="s">
        <v>156</v>
      </c>
      <c r="G904" s="21">
        <f>G905</f>
        <v>61394.899999999994</v>
      </c>
      <c r="H904" s="23"/>
      <c r="K904" s="21">
        <f>K905</f>
        <v>61394.899999999994</v>
      </c>
      <c r="L904" s="23"/>
      <c r="M904" s="83"/>
      <c r="N904" s="79">
        <f>G918+G921+G924+G927+G930+G933+G936</f>
        <v>174277.5</v>
      </c>
    </row>
    <row r="905" spans="1:13" ht="15.75">
      <c r="A905" s="29"/>
      <c r="B905" s="18" t="s">
        <v>167</v>
      </c>
      <c r="C905" s="24" t="s">
        <v>41</v>
      </c>
      <c r="D905" s="22" t="s">
        <v>129</v>
      </c>
      <c r="E905" s="22" t="s">
        <v>125</v>
      </c>
      <c r="F905" s="24" t="s">
        <v>166</v>
      </c>
      <c r="G905" s="21">
        <f>50577.6+4300+1702.6+3780+275+759.7</f>
        <v>61394.899999999994</v>
      </c>
      <c r="H905" s="23"/>
      <c r="K905" s="21">
        <f>50577.6+4300+1702.6+3780+275+759.7</f>
        <v>61394.899999999994</v>
      </c>
      <c r="L905" s="23"/>
      <c r="M905" s="83"/>
    </row>
    <row r="906" spans="1:14" ht="35.25" customHeight="1">
      <c r="A906" s="29"/>
      <c r="B906" s="18" t="s">
        <v>492</v>
      </c>
      <c r="C906" s="24" t="s">
        <v>42</v>
      </c>
      <c r="D906" s="22" t="s">
        <v>129</v>
      </c>
      <c r="E906" s="22" t="s">
        <v>125</v>
      </c>
      <c r="F906" s="24"/>
      <c r="G906" s="21">
        <f>G907</f>
        <v>23349</v>
      </c>
      <c r="H906" s="21">
        <f>H907</f>
        <v>23349</v>
      </c>
      <c r="K906" s="21">
        <f>K907</f>
        <v>23348.1</v>
      </c>
      <c r="L906" s="21">
        <f>L907</f>
        <v>23348.1</v>
      </c>
      <c r="M906" s="83"/>
      <c r="N906" s="79">
        <f>G918+G921+G924+G927+G930+G933+G936</f>
        <v>174277.5</v>
      </c>
    </row>
    <row r="907" spans="1:13" ht="31.5">
      <c r="A907" s="29"/>
      <c r="B907" s="18" t="s">
        <v>157</v>
      </c>
      <c r="C907" s="24" t="s">
        <v>42</v>
      </c>
      <c r="D907" s="22" t="s">
        <v>129</v>
      </c>
      <c r="E907" s="22" t="s">
        <v>125</v>
      </c>
      <c r="F907" s="24" t="s">
        <v>156</v>
      </c>
      <c r="G907" s="21">
        <f>G908</f>
        <v>23349</v>
      </c>
      <c r="H907" s="21">
        <f>H908</f>
        <v>23349</v>
      </c>
      <c r="K907" s="21">
        <f>K908</f>
        <v>23348.1</v>
      </c>
      <c r="L907" s="21">
        <f>L908</f>
        <v>23348.1</v>
      </c>
      <c r="M907" s="83"/>
    </row>
    <row r="908" spans="1:13" ht="15.75">
      <c r="A908" s="29"/>
      <c r="B908" s="18" t="s">
        <v>167</v>
      </c>
      <c r="C908" s="24" t="s">
        <v>42</v>
      </c>
      <c r="D908" s="22" t="s">
        <v>129</v>
      </c>
      <c r="E908" s="22" t="s">
        <v>125</v>
      </c>
      <c r="F908" s="24" t="s">
        <v>166</v>
      </c>
      <c r="G908" s="21">
        <f>23584-235</f>
        <v>23349</v>
      </c>
      <c r="H908" s="21">
        <f>G908</f>
        <v>23349</v>
      </c>
      <c r="K908" s="21">
        <v>23348.1</v>
      </c>
      <c r="L908" s="21">
        <f>K908</f>
        <v>23348.1</v>
      </c>
      <c r="M908" s="83"/>
    </row>
    <row r="909" spans="1:13" ht="63">
      <c r="A909" s="29"/>
      <c r="B909" s="18" t="s">
        <v>570</v>
      </c>
      <c r="C909" s="24" t="s">
        <v>575</v>
      </c>
      <c r="D909" s="22" t="s">
        <v>129</v>
      </c>
      <c r="E909" s="22" t="s">
        <v>125</v>
      </c>
      <c r="F909" s="24"/>
      <c r="G909" s="21">
        <f>G910</f>
        <v>131855</v>
      </c>
      <c r="H909" s="21">
        <f>H910</f>
        <v>131855</v>
      </c>
      <c r="K909" s="21">
        <f>K910</f>
        <v>121040.5</v>
      </c>
      <c r="L909" s="21">
        <f>L910</f>
        <v>121040.5</v>
      </c>
      <c r="M909" s="83"/>
    </row>
    <row r="910" spans="1:13" ht="31.5">
      <c r="A910" s="29"/>
      <c r="B910" s="18" t="s">
        <v>157</v>
      </c>
      <c r="C910" s="24" t="s">
        <v>575</v>
      </c>
      <c r="D910" s="22" t="s">
        <v>129</v>
      </c>
      <c r="E910" s="22" t="s">
        <v>125</v>
      </c>
      <c r="F910" s="24" t="s">
        <v>156</v>
      </c>
      <c r="G910" s="21">
        <f>G911</f>
        <v>131855</v>
      </c>
      <c r="H910" s="21">
        <f>H911</f>
        <v>131855</v>
      </c>
      <c r="K910" s="21">
        <f>K911</f>
        <v>121040.5</v>
      </c>
      <c r="L910" s="21">
        <f>L911</f>
        <v>121040.5</v>
      </c>
      <c r="M910" s="83"/>
    </row>
    <row r="911" spans="1:13" ht="15.75">
      <c r="A911" s="29"/>
      <c r="B911" s="18" t="s">
        <v>167</v>
      </c>
      <c r="C911" s="24" t="s">
        <v>575</v>
      </c>
      <c r="D911" s="22" t="s">
        <v>129</v>
      </c>
      <c r="E911" s="22" t="s">
        <v>125</v>
      </c>
      <c r="F911" s="24" t="s">
        <v>166</v>
      </c>
      <c r="G911" s="21">
        <f>69621+62234</f>
        <v>131855</v>
      </c>
      <c r="H911" s="21">
        <f>G911</f>
        <v>131855</v>
      </c>
      <c r="K911" s="21">
        <v>121040.5</v>
      </c>
      <c r="L911" s="21">
        <f>K911</f>
        <v>121040.5</v>
      </c>
      <c r="M911" s="83"/>
    </row>
    <row r="912" spans="1:13" ht="47.25">
      <c r="A912" s="29"/>
      <c r="B912" s="18" t="s">
        <v>398</v>
      </c>
      <c r="C912" s="24" t="s">
        <v>42</v>
      </c>
      <c r="D912" s="22" t="s">
        <v>129</v>
      </c>
      <c r="E912" s="22" t="s">
        <v>125</v>
      </c>
      <c r="F912" s="24"/>
      <c r="G912" s="21">
        <f>G913</f>
        <v>9656</v>
      </c>
      <c r="H912" s="21"/>
      <c r="K912" s="21">
        <f>K913</f>
        <v>9656</v>
      </c>
      <c r="L912" s="21"/>
      <c r="M912" s="83"/>
    </row>
    <row r="913" spans="1:13" ht="31.5">
      <c r="A913" s="29"/>
      <c r="B913" s="18" t="s">
        <v>157</v>
      </c>
      <c r="C913" s="24" t="s">
        <v>42</v>
      </c>
      <c r="D913" s="22" t="s">
        <v>129</v>
      </c>
      <c r="E913" s="22" t="s">
        <v>125</v>
      </c>
      <c r="F913" s="24" t="s">
        <v>156</v>
      </c>
      <c r="G913" s="21">
        <f>G914</f>
        <v>9656</v>
      </c>
      <c r="H913" s="21"/>
      <c r="K913" s="21">
        <f>K914</f>
        <v>9656</v>
      </c>
      <c r="L913" s="21"/>
      <c r="M913" s="83"/>
    </row>
    <row r="914" spans="1:13" ht="15.75">
      <c r="A914" s="29"/>
      <c r="B914" s="18" t="s">
        <v>167</v>
      </c>
      <c r="C914" s="24" t="s">
        <v>42</v>
      </c>
      <c r="D914" s="22" t="s">
        <v>129</v>
      </c>
      <c r="E914" s="22" t="s">
        <v>125</v>
      </c>
      <c r="F914" s="24" t="s">
        <v>166</v>
      </c>
      <c r="G914" s="21">
        <f>10285-629</f>
        <v>9656</v>
      </c>
      <c r="H914" s="21"/>
      <c r="K914" s="21">
        <f>10285-629</f>
        <v>9656</v>
      </c>
      <c r="L914" s="21"/>
      <c r="M914" s="83"/>
    </row>
    <row r="915" spans="1:13" ht="63">
      <c r="A915" s="29"/>
      <c r="B915" s="18" t="s">
        <v>576</v>
      </c>
      <c r="C915" s="24" t="s">
        <v>575</v>
      </c>
      <c r="D915" s="22" t="s">
        <v>129</v>
      </c>
      <c r="E915" s="22" t="s">
        <v>125</v>
      </c>
      <c r="F915" s="24"/>
      <c r="G915" s="21">
        <f>G916</f>
        <v>1333</v>
      </c>
      <c r="H915" s="21"/>
      <c r="K915" s="21">
        <f>K916</f>
        <v>1232.6</v>
      </c>
      <c r="L915" s="21"/>
      <c r="M915" s="83"/>
    </row>
    <row r="916" spans="1:13" ht="31.5">
      <c r="A916" s="29"/>
      <c r="B916" s="18" t="s">
        <v>157</v>
      </c>
      <c r="C916" s="24" t="s">
        <v>575</v>
      </c>
      <c r="D916" s="22" t="s">
        <v>129</v>
      </c>
      <c r="E916" s="22" t="s">
        <v>125</v>
      </c>
      <c r="F916" s="24" t="s">
        <v>156</v>
      </c>
      <c r="G916" s="21">
        <f>G917</f>
        <v>1333</v>
      </c>
      <c r="H916" s="21"/>
      <c r="K916" s="21">
        <f>K917</f>
        <v>1232.6</v>
      </c>
      <c r="L916" s="21"/>
      <c r="M916" s="83"/>
    </row>
    <row r="917" spans="1:13" ht="15.75">
      <c r="A917" s="29"/>
      <c r="B917" s="18" t="s">
        <v>167</v>
      </c>
      <c r="C917" s="24" t="s">
        <v>575</v>
      </c>
      <c r="D917" s="22" t="s">
        <v>129</v>
      </c>
      <c r="E917" s="22" t="s">
        <v>125</v>
      </c>
      <c r="F917" s="24" t="s">
        <v>166</v>
      </c>
      <c r="G917" s="21">
        <f>704+629</f>
        <v>1333</v>
      </c>
      <c r="H917" s="21"/>
      <c r="K917" s="21">
        <v>1232.6</v>
      </c>
      <c r="L917" s="21"/>
      <c r="M917" s="83"/>
    </row>
    <row r="918" spans="1:13" ht="85.5" customHeight="1">
      <c r="A918" s="29"/>
      <c r="B918" s="18" t="s">
        <v>464</v>
      </c>
      <c r="C918" s="24" t="s">
        <v>465</v>
      </c>
      <c r="D918" s="22" t="s">
        <v>129</v>
      </c>
      <c r="E918" s="22" t="s">
        <v>125</v>
      </c>
      <c r="F918" s="24"/>
      <c r="G918" s="21">
        <f>G919</f>
        <v>13696.6</v>
      </c>
      <c r="H918" s="21"/>
      <c r="K918" s="21">
        <f>K919</f>
        <v>13696.5</v>
      </c>
      <c r="L918" s="21"/>
      <c r="M918" s="83"/>
    </row>
    <row r="919" spans="1:13" ht="31.5">
      <c r="A919" s="29"/>
      <c r="B919" s="18" t="s">
        <v>157</v>
      </c>
      <c r="C919" s="24" t="s">
        <v>465</v>
      </c>
      <c r="D919" s="22" t="s">
        <v>129</v>
      </c>
      <c r="E919" s="22" t="s">
        <v>125</v>
      </c>
      <c r="F919" s="24" t="s">
        <v>156</v>
      </c>
      <c r="G919" s="21">
        <f>G920</f>
        <v>13696.6</v>
      </c>
      <c r="H919" s="21"/>
      <c r="K919" s="21">
        <f>K920</f>
        <v>13696.5</v>
      </c>
      <c r="L919" s="21"/>
      <c r="M919" s="83"/>
    </row>
    <row r="920" spans="1:13" ht="15.75">
      <c r="A920" s="29"/>
      <c r="B920" s="18" t="s">
        <v>167</v>
      </c>
      <c r="C920" s="24" t="s">
        <v>465</v>
      </c>
      <c r="D920" s="22" t="s">
        <v>129</v>
      </c>
      <c r="E920" s="22" t="s">
        <v>125</v>
      </c>
      <c r="F920" s="24" t="s">
        <v>166</v>
      </c>
      <c r="G920" s="21">
        <f>12340.3+7000-5516.3+816.1-943.5</f>
        <v>13696.6</v>
      </c>
      <c r="H920" s="21"/>
      <c r="K920" s="21">
        <v>13696.5</v>
      </c>
      <c r="L920" s="21"/>
      <c r="M920" s="83"/>
    </row>
    <row r="921" spans="1:13" ht="55.5" customHeight="1">
      <c r="A921" s="29"/>
      <c r="B921" s="18" t="s">
        <v>466</v>
      </c>
      <c r="C921" s="24" t="s">
        <v>467</v>
      </c>
      <c r="D921" s="22" t="s">
        <v>129</v>
      </c>
      <c r="E921" s="22" t="s">
        <v>125</v>
      </c>
      <c r="F921" s="24"/>
      <c r="G921" s="21">
        <f>G922</f>
        <v>84845.7</v>
      </c>
      <c r="H921" s="21"/>
      <c r="K921" s="21">
        <f>K922</f>
        <v>84845.7</v>
      </c>
      <c r="L921" s="21"/>
      <c r="M921" s="83"/>
    </row>
    <row r="922" spans="1:13" ht="31.5">
      <c r="A922" s="29"/>
      <c r="B922" s="18" t="s">
        <v>157</v>
      </c>
      <c r="C922" s="24" t="s">
        <v>467</v>
      </c>
      <c r="D922" s="22" t="s">
        <v>129</v>
      </c>
      <c r="E922" s="22" t="s">
        <v>125</v>
      </c>
      <c r="F922" s="24" t="s">
        <v>156</v>
      </c>
      <c r="G922" s="21">
        <f>G923</f>
        <v>84845.7</v>
      </c>
      <c r="H922" s="21"/>
      <c r="K922" s="21">
        <f>K923</f>
        <v>84845.7</v>
      </c>
      <c r="L922" s="21"/>
      <c r="M922" s="83"/>
    </row>
    <row r="923" spans="1:13" ht="15.75">
      <c r="A923" s="29"/>
      <c r="B923" s="18" t="s">
        <v>167</v>
      </c>
      <c r="C923" s="24" t="s">
        <v>467</v>
      </c>
      <c r="D923" s="22" t="s">
        <v>129</v>
      </c>
      <c r="E923" s="22" t="s">
        <v>125</v>
      </c>
      <c r="F923" s="24" t="s">
        <v>166</v>
      </c>
      <c r="G923" s="21">
        <f>62868.9+14038.3+1877+2061.5+4000</f>
        <v>84845.7</v>
      </c>
      <c r="H923" s="21"/>
      <c r="K923" s="21">
        <f>62868.9+14038.3+1877+2061.5+4000</f>
        <v>84845.7</v>
      </c>
      <c r="L923" s="21"/>
      <c r="M923" s="83"/>
    </row>
    <row r="924" spans="1:13" ht="102" customHeight="1">
      <c r="A924" s="29"/>
      <c r="B924" s="18" t="s">
        <v>468</v>
      </c>
      <c r="C924" s="24" t="s">
        <v>469</v>
      </c>
      <c r="D924" s="22" t="s">
        <v>129</v>
      </c>
      <c r="E924" s="22" t="s">
        <v>125</v>
      </c>
      <c r="F924" s="24"/>
      <c r="G924" s="21">
        <f>G925</f>
        <v>3394.1999999999994</v>
      </c>
      <c r="H924" s="21"/>
      <c r="K924" s="21">
        <f>K925</f>
        <v>3394.1999999999994</v>
      </c>
      <c r="L924" s="21"/>
      <c r="M924" s="83"/>
    </row>
    <row r="925" spans="1:13" ht="31.5">
      <c r="A925" s="29"/>
      <c r="B925" s="18" t="s">
        <v>157</v>
      </c>
      <c r="C925" s="24" t="s">
        <v>469</v>
      </c>
      <c r="D925" s="22" t="s">
        <v>129</v>
      </c>
      <c r="E925" s="22" t="s">
        <v>125</v>
      </c>
      <c r="F925" s="24" t="s">
        <v>156</v>
      </c>
      <c r="G925" s="21">
        <f>G926</f>
        <v>3394.1999999999994</v>
      </c>
      <c r="H925" s="21"/>
      <c r="K925" s="21">
        <f>K926</f>
        <v>3394.1999999999994</v>
      </c>
      <c r="L925" s="21"/>
      <c r="M925" s="83"/>
    </row>
    <row r="926" spans="1:13" ht="15.75">
      <c r="A926" s="29"/>
      <c r="B926" s="18" t="s">
        <v>167</v>
      </c>
      <c r="C926" s="24" t="s">
        <v>469</v>
      </c>
      <c r="D926" s="22" t="s">
        <v>129</v>
      </c>
      <c r="E926" s="22" t="s">
        <v>125</v>
      </c>
      <c r="F926" s="24" t="s">
        <v>166</v>
      </c>
      <c r="G926" s="21">
        <f>11553.3-7343-816.1</f>
        <v>3394.1999999999994</v>
      </c>
      <c r="H926" s="21"/>
      <c r="K926" s="21">
        <f>11553.3-7343-816.1</f>
        <v>3394.1999999999994</v>
      </c>
      <c r="L926" s="21"/>
      <c r="M926" s="83"/>
    </row>
    <row r="927" spans="1:13" ht="110.25">
      <c r="A927" s="29"/>
      <c r="B927" s="18" t="s">
        <v>544</v>
      </c>
      <c r="C927" s="24" t="s">
        <v>469</v>
      </c>
      <c r="D927" s="22" t="s">
        <v>129</v>
      </c>
      <c r="E927" s="22" t="s">
        <v>125</v>
      </c>
      <c r="F927" s="77"/>
      <c r="G927" s="21">
        <f>G928</f>
        <v>34855</v>
      </c>
      <c r="H927" s="21"/>
      <c r="K927" s="21">
        <f>K928</f>
        <v>34854.7</v>
      </c>
      <c r="L927" s="21"/>
      <c r="M927" s="83"/>
    </row>
    <row r="928" spans="1:13" ht="31.5">
      <c r="A928" s="29"/>
      <c r="B928" s="18" t="s">
        <v>157</v>
      </c>
      <c r="C928" s="24" t="s">
        <v>469</v>
      </c>
      <c r="D928" s="22" t="s">
        <v>129</v>
      </c>
      <c r="E928" s="22" t="s">
        <v>125</v>
      </c>
      <c r="F928" s="24" t="s">
        <v>156</v>
      </c>
      <c r="G928" s="21">
        <f>G929</f>
        <v>34855</v>
      </c>
      <c r="H928" s="21"/>
      <c r="K928" s="21">
        <f>K929</f>
        <v>34854.7</v>
      </c>
      <c r="L928" s="21"/>
      <c r="M928" s="83"/>
    </row>
    <row r="929" spans="1:13" ht="15.75">
      <c r="A929" s="29"/>
      <c r="B929" s="18" t="s">
        <v>167</v>
      </c>
      <c r="C929" s="24" t="s">
        <v>469</v>
      </c>
      <c r="D929" s="22" t="s">
        <v>129</v>
      </c>
      <c r="E929" s="22" t="s">
        <v>125</v>
      </c>
      <c r="F929" s="24" t="s">
        <v>166</v>
      </c>
      <c r="G929" s="21">
        <f>35207-352</f>
        <v>34855</v>
      </c>
      <c r="H929" s="21"/>
      <c r="K929" s="21">
        <v>34854.7</v>
      </c>
      <c r="L929" s="21"/>
      <c r="M929" s="83"/>
    </row>
    <row r="930" spans="1:13" ht="141.75">
      <c r="A930" s="29"/>
      <c r="B930" s="18" t="s">
        <v>545</v>
      </c>
      <c r="C930" s="24" t="s">
        <v>546</v>
      </c>
      <c r="D930" s="22" t="s">
        <v>129</v>
      </c>
      <c r="E930" s="22" t="s">
        <v>125</v>
      </c>
      <c r="F930" s="76"/>
      <c r="G930" s="21">
        <f>G931</f>
        <v>225</v>
      </c>
      <c r="H930" s="21"/>
      <c r="K930" s="21">
        <f>K931</f>
        <v>170</v>
      </c>
      <c r="L930" s="21"/>
      <c r="M930" s="83"/>
    </row>
    <row r="931" spans="1:13" ht="31.5">
      <c r="A931" s="29"/>
      <c r="B931" s="18" t="s">
        <v>157</v>
      </c>
      <c r="C931" s="24" t="s">
        <v>546</v>
      </c>
      <c r="D931" s="22" t="s">
        <v>129</v>
      </c>
      <c r="E931" s="22" t="s">
        <v>125</v>
      </c>
      <c r="F931" s="24" t="s">
        <v>156</v>
      </c>
      <c r="G931" s="21">
        <f>G932</f>
        <v>225</v>
      </c>
      <c r="H931" s="21"/>
      <c r="K931" s="21">
        <f>K932</f>
        <v>170</v>
      </c>
      <c r="L931" s="21"/>
      <c r="M931" s="83"/>
    </row>
    <row r="932" spans="1:13" ht="15.75">
      <c r="A932" s="29"/>
      <c r="B932" s="18" t="s">
        <v>167</v>
      </c>
      <c r="C932" s="24" t="s">
        <v>546</v>
      </c>
      <c r="D932" s="22" t="s">
        <v>129</v>
      </c>
      <c r="E932" s="22" t="s">
        <v>125</v>
      </c>
      <c r="F932" s="24" t="s">
        <v>166</v>
      </c>
      <c r="G932" s="21">
        <f>343-118</f>
        <v>225</v>
      </c>
      <c r="H932" s="21"/>
      <c r="K932" s="21">
        <v>170</v>
      </c>
      <c r="L932" s="21"/>
      <c r="M932" s="83"/>
    </row>
    <row r="933" spans="1:13" ht="141.75">
      <c r="A933" s="29"/>
      <c r="B933" s="18" t="s">
        <v>547</v>
      </c>
      <c r="C933" s="24" t="s">
        <v>546</v>
      </c>
      <c r="D933" s="22" t="s">
        <v>129</v>
      </c>
      <c r="E933" s="22" t="s">
        <v>125</v>
      </c>
      <c r="F933" s="76"/>
      <c r="G933" s="21">
        <f>G934</f>
        <v>22261</v>
      </c>
      <c r="H933" s="21"/>
      <c r="K933" s="21">
        <f>K934</f>
        <v>16828.6</v>
      </c>
      <c r="L933" s="21"/>
      <c r="M933" s="83"/>
    </row>
    <row r="934" spans="1:13" ht="31.5">
      <c r="A934" s="29"/>
      <c r="B934" s="18" t="s">
        <v>157</v>
      </c>
      <c r="C934" s="24" t="s">
        <v>546</v>
      </c>
      <c r="D934" s="22" t="s">
        <v>129</v>
      </c>
      <c r="E934" s="22" t="s">
        <v>125</v>
      </c>
      <c r="F934" s="24" t="s">
        <v>156</v>
      </c>
      <c r="G934" s="21">
        <f>G935</f>
        <v>22261</v>
      </c>
      <c r="H934" s="21"/>
      <c r="K934" s="21">
        <f>K935</f>
        <v>16828.6</v>
      </c>
      <c r="L934" s="21"/>
      <c r="M934" s="83"/>
    </row>
    <row r="935" spans="1:13" ht="15.75">
      <c r="A935" s="29"/>
      <c r="B935" s="18" t="s">
        <v>167</v>
      </c>
      <c r="C935" s="24" t="s">
        <v>546</v>
      </c>
      <c r="D935" s="22" t="s">
        <v>129</v>
      </c>
      <c r="E935" s="22" t="s">
        <v>125</v>
      </c>
      <c r="F935" s="24" t="s">
        <v>166</v>
      </c>
      <c r="G935" s="21">
        <f>33950-11689</f>
        <v>22261</v>
      </c>
      <c r="H935" s="21"/>
      <c r="K935" s="21">
        <v>16828.6</v>
      </c>
      <c r="L935" s="21"/>
      <c r="M935" s="83"/>
    </row>
    <row r="936" spans="1:13" ht="63">
      <c r="A936" s="29"/>
      <c r="B936" s="18" t="s">
        <v>490</v>
      </c>
      <c r="C936" s="24" t="s">
        <v>491</v>
      </c>
      <c r="D936" s="22" t="s">
        <v>129</v>
      </c>
      <c r="E936" s="22" t="s">
        <v>125</v>
      </c>
      <c r="F936" s="24"/>
      <c r="G936" s="21">
        <f>G937</f>
        <v>15000</v>
      </c>
      <c r="H936" s="21"/>
      <c r="K936" s="21">
        <f>K937</f>
        <v>12880</v>
      </c>
      <c r="L936" s="21"/>
      <c r="M936" s="83"/>
    </row>
    <row r="937" spans="1:13" ht="31.5">
      <c r="A937" s="29"/>
      <c r="B937" s="18" t="s">
        <v>157</v>
      </c>
      <c r="C937" s="24" t="s">
        <v>491</v>
      </c>
      <c r="D937" s="22" t="s">
        <v>129</v>
      </c>
      <c r="E937" s="22" t="s">
        <v>125</v>
      </c>
      <c r="F937" s="24" t="s">
        <v>156</v>
      </c>
      <c r="G937" s="21">
        <f>G938</f>
        <v>15000</v>
      </c>
      <c r="H937" s="21"/>
      <c r="K937" s="21">
        <f>K938</f>
        <v>12880</v>
      </c>
      <c r="L937" s="21"/>
      <c r="M937" s="83"/>
    </row>
    <row r="938" spans="1:13" ht="15.75">
      <c r="A938" s="29"/>
      <c r="B938" s="18" t="s">
        <v>167</v>
      </c>
      <c r="C938" s="24" t="s">
        <v>491</v>
      </c>
      <c r="D938" s="22" t="s">
        <v>129</v>
      </c>
      <c r="E938" s="22" t="s">
        <v>125</v>
      </c>
      <c r="F938" s="24" t="s">
        <v>166</v>
      </c>
      <c r="G938" s="21">
        <f>15000</f>
        <v>15000</v>
      </c>
      <c r="H938" s="21"/>
      <c r="K938" s="21">
        <v>12880</v>
      </c>
      <c r="L938" s="21"/>
      <c r="M938" s="83"/>
    </row>
    <row r="939" spans="1:13" ht="47.25">
      <c r="A939" s="15">
        <v>15</v>
      </c>
      <c r="B939" s="32" t="s">
        <v>334</v>
      </c>
      <c r="C939" s="38" t="s">
        <v>79</v>
      </c>
      <c r="D939" s="42"/>
      <c r="E939" s="42"/>
      <c r="F939" s="19"/>
      <c r="G939" s="40">
        <f>G940</f>
        <v>0</v>
      </c>
      <c r="H939" s="40">
        <f>H940</f>
        <v>0</v>
      </c>
      <c r="K939" s="40">
        <f>K940</f>
        <v>0</v>
      </c>
      <c r="L939" s="40">
        <f>L940</f>
        <v>0</v>
      </c>
      <c r="M939" s="83"/>
    </row>
    <row r="940" spans="1:13" ht="31.5">
      <c r="A940" s="29"/>
      <c r="B940" s="14" t="s">
        <v>308</v>
      </c>
      <c r="C940" s="19" t="s">
        <v>101</v>
      </c>
      <c r="D940" s="22" t="s">
        <v>129</v>
      </c>
      <c r="E940" s="22" t="s">
        <v>137</v>
      </c>
      <c r="F940" s="19"/>
      <c r="G940" s="21">
        <f>G941</f>
        <v>0</v>
      </c>
      <c r="H940" s="23"/>
      <c r="K940" s="21">
        <f>K941</f>
        <v>0</v>
      </c>
      <c r="L940" s="23"/>
      <c r="M940" s="83"/>
    </row>
    <row r="941" spans="1:13" ht="15.75">
      <c r="A941" s="29"/>
      <c r="B941" s="18" t="s">
        <v>159</v>
      </c>
      <c r="C941" s="19" t="s">
        <v>101</v>
      </c>
      <c r="D941" s="22" t="s">
        <v>129</v>
      </c>
      <c r="E941" s="22" t="s">
        <v>137</v>
      </c>
      <c r="F941" s="19" t="s">
        <v>158</v>
      </c>
      <c r="G941" s="21">
        <f>G942</f>
        <v>0</v>
      </c>
      <c r="H941" s="23"/>
      <c r="K941" s="21">
        <f>K942</f>
        <v>0</v>
      </c>
      <c r="L941" s="23"/>
      <c r="M941" s="83"/>
    </row>
    <row r="942" spans="1:13" ht="31.5">
      <c r="A942" s="29"/>
      <c r="B942" s="18" t="s">
        <v>165</v>
      </c>
      <c r="C942" s="19" t="s">
        <v>101</v>
      </c>
      <c r="D942" s="22" t="s">
        <v>129</v>
      </c>
      <c r="E942" s="22" t="s">
        <v>137</v>
      </c>
      <c r="F942" s="19" t="s">
        <v>164</v>
      </c>
      <c r="G942" s="21">
        <v>0</v>
      </c>
      <c r="H942" s="23"/>
      <c r="K942" s="21">
        <v>0</v>
      </c>
      <c r="L942" s="23"/>
      <c r="M942" s="83"/>
    </row>
    <row r="943" spans="1:13" ht="98.25" customHeight="1">
      <c r="A943" s="15">
        <v>16</v>
      </c>
      <c r="B943" s="32" t="s">
        <v>219</v>
      </c>
      <c r="C943" s="38" t="s">
        <v>80</v>
      </c>
      <c r="D943" s="42"/>
      <c r="E943" s="42"/>
      <c r="F943" s="38"/>
      <c r="G943" s="40">
        <f>G944+G947+G953+G950+G956</f>
        <v>136664.6</v>
      </c>
      <c r="H943" s="40">
        <f>H944+H947+H953</f>
        <v>8666</v>
      </c>
      <c r="K943" s="40">
        <f>K944+K947+K953+K950+K956</f>
        <v>136494.1</v>
      </c>
      <c r="L943" s="40">
        <f>L944+L947+L953</f>
        <v>8495.5</v>
      </c>
      <c r="M943" s="31">
        <f>K943/G943*100</f>
        <v>99.87524201585487</v>
      </c>
    </row>
    <row r="944" spans="1:13" ht="47.25">
      <c r="A944" s="15"/>
      <c r="B944" s="18" t="s">
        <v>88</v>
      </c>
      <c r="C944" s="24" t="s">
        <v>295</v>
      </c>
      <c r="D944" s="22" t="s">
        <v>126</v>
      </c>
      <c r="E944" s="22" t="s">
        <v>221</v>
      </c>
      <c r="F944" s="38"/>
      <c r="G944" s="47">
        <f>G945</f>
        <v>127600.6</v>
      </c>
      <c r="H944" s="40"/>
      <c r="K944" s="47">
        <f>K945</f>
        <v>127600.6</v>
      </c>
      <c r="L944" s="40"/>
      <c r="M944" s="83"/>
    </row>
    <row r="945" spans="1:13" ht="31.5">
      <c r="A945" s="29"/>
      <c r="B945" s="18" t="s">
        <v>157</v>
      </c>
      <c r="C945" s="24" t="s">
        <v>295</v>
      </c>
      <c r="D945" s="22" t="s">
        <v>126</v>
      </c>
      <c r="E945" s="22" t="s">
        <v>221</v>
      </c>
      <c r="F945" s="24" t="s">
        <v>156</v>
      </c>
      <c r="G945" s="21">
        <f>G946</f>
        <v>127600.6</v>
      </c>
      <c r="H945" s="23"/>
      <c r="K945" s="21">
        <f>K946</f>
        <v>127600.6</v>
      </c>
      <c r="L945" s="23"/>
      <c r="M945" s="83"/>
    </row>
    <row r="946" spans="1:13" ht="15.75">
      <c r="A946" s="29"/>
      <c r="B946" s="18" t="s">
        <v>220</v>
      </c>
      <c r="C946" s="24" t="s">
        <v>295</v>
      </c>
      <c r="D946" s="22" t="s">
        <v>126</v>
      </c>
      <c r="E946" s="22" t="s">
        <v>221</v>
      </c>
      <c r="F946" s="24" t="s">
        <v>166</v>
      </c>
      <c r="G946" s="21">
        <f>98571+28700+727.6-383-15</f>
        <v>127600.6</v>
      </c>
      <c r="H946" s="33"/>
      <c r="K946" s="21">
        <f>98571+28700+727.6-383-15</f>
        <v>127600.6</v>
      </c>
      <c r="L946" s="33"/>
      <c r="M946" s="83"/>
    </row>
    <row r="947" spans="1:13" ht="47.25" customHeight="1">
      <c r="A947" s="29"/>
      <c r="B947" s="18" t="s">
        <v>649</v>
      </c>
      <c r="C947" s="24" t="s">
        <v>654</v>
      </c>
      <c r="D947" s="22" t="s">
        <v>126</v>
      </c>
      <c r="E947" s="22" t="s">
        <v>221</v>
      </c>
      <c r="F947" s="38"/>
      <c r="G947" s="21">
        <f>G948</f>
        <v>7273</v>
      </c>
      <c r="H947" s="21">
        <f>H948</f>
        <v>7273</v>
      </c>
      <c r="K947" s="21">
        <f>K948</f>
        <v>7273</v>
      </c>
      <c r="L947" s="21">
        <f>L948</f>
        <v>7273</v>
      </c>
      <c r="M947" s="83"/>
    </row>
    <row r="948" spans="1:13" ht="35.25" customHeight="1">
      <c r="A948" s="29"/>
      <c r="B948" s="18" t="s">
        <v>157</v>
      </c>
      <c r="C948" s="24" t="s">
        <v>654</v>
      </c>
      <c r="D948" s="22" t="s">
        <v>126</v>
      </c>
      <c r="E948" s="22" t="s">
        <v>221</v>
      </c>
      <c r="F948" s="24" t="s">
        <v>156</v>
      </c>
      <c r="G948" s="21">
        <f>G949</f>
        <v>7273</v>
      </c>
      <c r="H948" s="21">
        <f>H949</f>
        <v>7273</v>
      </c>
      <c r="K948" s="21">
        <f>K949</f>
        <v>7273</v>
      </c>
      <c r="L948" s="21">
        <f>L949</f>
        <v>7273</v>
      </c>
      <c r="M948" s="83"/>
    </row>
    <row r="949" spans="1:13" ht="19.5" customHeight="1">
      <c r="A949" s="29"/>
      <c r="B949" s="18" t="s">
        <v>167</v>
      </c>
      <c r="C949" s="24" t="s">
        <v>654</v>
      </c>
      <c r="D949" s="22" t="s">
        <v>126</v>
      </c>
      <c r="E949" s="22" t="s">
        <v>221</v>
      </c>
      <c r="F949" s="24" t="s">
        <v>166</v>
      </c>
      <c r="G949" s="21">
        <v>7273</v>
      </c>
      <c r="H949" s="21">
        <f>G949</f>
        <v>7273</v>
      </c>
      <c r="K949" s="21">
        <v>7273</v>
      </c>
      <c r="L949" s="21">
        <f>K949</f>
        <v>7273</v>
      </c>
      <c r="M949" s="83"/>
    </row>
    <row r="950" spans="1:13" ht="54" customHeight="1">
      <c r="A950" s="29"/>
      <c r="B950" s="18" t="s">
        <v>653</v>
      </c>
      <c r="C950" s="24" t="s">
        <v>654</v>
      </c>
      <c r="D950" s="22" t="s">
        <v>126</v>
      </c>
      <c r="E950" s="22" t="s">
        <v>221</v>
      </c>
      <c r="F950" s="24"/>
      <c r="G950" s="21">
        <f>G951</f>
        <v>383</v>
      </c>
      <c r="H950" s="21"/>
      <c r="K950" s="21">
        <f>K951</f>
        <v>383</v>
      </c>
      <c r="L950" s="21"/>
      <c r="M950" s="83"/>
    </row>
    <row r="951" spans="1:13" ht="33.75" customHeight="1">
      <c r="A951" s="29"/>
      <c r="B951" s="18" t="s">
        <v>157</v>
      </c>
      <c r="C951" s="24" t="s">
        <v>654</v>
      </c>
      <c r="D951" s="22" t="s">
        <v>126</v>
      </c>
      <c r="E951" s="22" t="s">
        <v>221</v>
      </c>
      <c r="F951" s="24" t="s">
        <v>156</v>
      </c>
      <c r="G951" s="21">
        <f>G952</f>
        <v>383</v>
      </c>
      <c r="H951" s="21"/>
      <c r="K951" s="21">
        <f>K952</f>
        <v>383</v>
      </c>
      <c r="L951" s="21"/>
      <c r="M951" s="83"/>
    </row>
    <row r="952" spans="1:13" ht="21" customHeight="1">
      <c r="A952" s="29"/>
      <c r="B952" s="18" t="s">
        <v>167</v>
      </c>
      <c r="C952" s="24" t="s">
        <v>654</v>
      </c>
      <c r="D952" s="22" t="s">
        <v>126</v>
      </c>
      <c r="E952" s="22" t="s">
        <v>221</v>
      </c>
      <c r="F952" s="24" t="s">
        <v>166</v>
      </c>
      <c r="G952" s="21">
        <v>383</v>
      </c>
      <c r="H952" s="21"/>
      <c r="K952" s="21">
        <v>383</v>
      </c>
      <c r="L952" s="21"/>
      <c r="M952" s="83"/>
    </row>
    <row r="953" spans="1:13" ht="94.5" customHeight="1">
      <c r="A953" s="29"/>
      <c r="B953" s="18" t="s">
        <v>650</v>
      </c>
      <c r="C953" s="22" t="s">
        <v>656</v>
      </c>
      <c r="D953" s="22" t="s">
        <v>126</v>
      </c>
      <c r="E953" s="22" t="s">
        <v>221</v>
      </c>
      <c r="F953" s="38"/>
      <c r="G953" s="21">
        <f>G954</f>
        <v>1393</v>
      </c>
      <c r="H953" s="21">
        <f>H954</f>
        <v>1393</v>
      </c>
      <c r="K953" s="21">
        <f>K954</f>
        <v>1222.5</v>
      </c>
      <c r="L953" s="21">
        <f>L954</f>
        <v>1222.5</v>
      </c>
      <c r="M953" s="83"/>
    </row>
    <row r="954" spans="1:13" ht="33" customHeight="1">
      <c r="A954" s="29"/>
      <c r="B954" s="18" t="s">
        <v>157</v>
      </c>
      <c r="C954" s="22" t="s">
        <v>656</v>
      </c>
      <c r="D954" s="22" t="s">
        <v>126</v>
      </c>
      <c r="E954" s="22" t="s">
        <v>221</v>
      </c>
      <c r="F954" s="24" t="s">
        <v>156</v>
      </c>
      <c r="G954" s="21">
        <f>G955</f>
        <v>1393</v>
      </c>
      <c r="H954" s="21">
        <f>H955</f>
        <v>1393</v>
      </c>
      <c r="K954" s="21">
        <f>K955</f>
        <v>1222.5</v>
      </c>
      <c r="L954" s="21">
        <f>L955</f>
        <v>1222.5</v>
      </c>
      <c r="M954" s="83"/>
    </row>
    <row r="955" spans="1:13" ht="18.75" customHeight="1">
      <c r="A955" s="29"/>
      <c r="B955" s="18" t="s">
        <v>167</v>
      </c>
      <c r="C955" s="22" t="s">
        <v>656</v>
      </c>
      <c r="D955" s="22" t="s">
        <v>126</v>
      </c>
      <c r="E955" s="22" t="s">
        <v>221</v>
      </c>
      <c r="F955" s="24" t="s">
        <v>166</v>
      </c>
      <c r="G955" s="21">
        <v>1393</v>
      </c>
      <c r="H955" s="21">
        <f>G955</f>
        <v>1393</v>
      </c>
      <c r="K955" s="21">
        <v>1222.5</v>
      </c>
      <c r="L955" s="21">
        <f>K955</f>
        <v>1222.5</v>
      </c>
      <c r="M955" s="83"/>
    </row>
    <row r="956" spans="1:13" ht="98.25" customHeight="1">
      <c r="A956" s="29"/>
      <c r="B956" s="18" t="s">
        <v>655</v>
      </c>
      <c r="C956" s="22" t="s">
        <v>656</v>
      </c>
      <c r="D956" s="22" t="s">
        <v>126</v>
      </c>
      <c r="E956" s="22" t="s">
        <v>221</v>
      </c>
      <c r="F956" s="24"/>
      <c r="G956" s="21">
        <f>G957</f>
        <v>15</v>
      </c>
      <c r="H956" s="21"/>
      <c r="K956" s="21">
        <f>K957</f>
        <v>15</v>
      </c>
      <c r="L956" s="21"/>
      <c r="M956" s="83"/>
    </row>
    <row r="957" spans="1:13" ht="35.25" customHeight="1">
      <c r="A957" s="29"/>
      <c r="B957" s="18" t="s">
        <v>157</v>
      </c>
      <c r="C957" s="22" t="s">
        <v>656</v>
      </c>
      <c r="D957" s="22" t="s">
        <v>126</v>
      </c>
      <c r="E957" s="22" t="s">
        <v>221</v>
      </c>
      <c r="F957" s="24" t="s">
        <v>156</v>
      </c>
      <c r="G957" s="21">
        <f>G958</f>
        <v>15</v>
      </c>
      <c r="H957" s="21"/>
      <c r="K957" s="21">
        <f>K958</f>
        <v>15</v>
      </c>
      <c r="L957" s="21"/>
      <c r="M957" s="83"/>
    </row>
    <row r="958" spans="1:13" ht="18.75" customHeight="1">
      <c r="A958" s="29"/>
      <c r="B958" s="18" t="s">
        <v>167</v>
      </c>
      <c r="C958" s="22" t="s">
        <v>656</v>
      </c>
      <c r="D958" s="22" t="s">
        <v>126</v>
      </c>
      <c r="E958" s="22" t="s">
        <v>221</v>
      </c>
      <c r="F958" s="24" t="s">
        <v>166</v>
      </c>
      <c r="G958" s="21">
        <v>15</v>
      </c>
      <c r="H958" s="21"/>
      <c r="K958" s="21">
        <v>15</v>
      </c>
      <c r="L958" s="21"/>
      <c r="M958" s="83"/>
    </row>
    <row r="959" spans="1:13" ht="31.5">
      <c r="A959" s="5">
        <v>17</v>
      </c>
      <c r="B959" s="32" t="s">
        <v>393</v>
      </c>
      <c r="C959" s="38" t="s">
        <v>366</v>
      </c>
      <c r="D959" s="42"/>
      <c r="E959" s="42"/>
      <c r="F959" s="38"/>
      <c r="G959" s="44">
        <f>G960</f>
        <v>168792.2</v>
      </c>
      <c r="H959" s="44">
        <f>H960</f>
        <v>53345.1</v>
      </c>
      <c r="K959" s="44">
        <f>K960</f>
        <v>136359.30000000002</v>
      </c>
      <c r="L959" s="44">
        <f>L960</f>
        <v>26892.100000000002</v>
      </c>
      <c r="M959" s="31">
        <f>K959/G959*100</f>
        <v>80.78530879981422</v>
      </c>
    </row>
    <row r="960" spans="1:13" ht="15.75">
      <c r="A960" s="29"/>
      <c r="B960" s="18" t="s">
        <v>153</v>
      </c>
      <c r="C960" s="24" t="s">
        <v>382</v>
      </c>
      <c r="D960" s="22" t="s">
        <v>131</v>
      </c>
      <c r="E960" s="22" t="s">
        <v>139</v>
      </c>
      <c r="F960" s="24"/>
      <c r="G960" s="21">
        <f>G961</f>
        <v>168792.2</v>
      </c>
      <c r="H960" s="21">
        <f>H961</f>
        <v>53345.1</v>
      </c>
      <c r="K960" s="21">
        <f>K961</f>
        <v>136359.30000000002</v>
      </c>
      <c r="L960" s="21">
        <f>L961</f>
        <v>26892.100000000002</v>
      </c>
      <c r="M960" s="83"/>
    </row>
    <row r="961" spans="1:13" ht="15.75">
      <c r="A961" s="29"/>
      <c r="B961" s="18" t="s">
        <v>370</v>
      </c>
      <c r="C961" s="24" t="s">
        <v>382</v>
      </c>
      <c r="D961" s="22" t="s">
        <v>131</v>
      </c>
      <c r="E961" s="22" t="s">
        <v>126</v>
      </c>
      <c r="F961" s="24"/>
      <c r="G961" s="21">
        <f>G962+G972</f>
        <v>168792.2</v>
      </c>
      <c r="H961" s="21">
        <f>H962+H972</f>
        <v>53345.1</v>
      </c>
      <c r="K961" s="21">
        <f>K962+K972</f>
        <v>136359.30000000002</v>
      </c>
      <c r="L961" s="21">
        <f>L962+L972</f>
        <v>26892.100000000002</v>
      </c>
      <c r="M961" s="83"/>
    </row>
    <row r="962" spans="1:13" ht="63">
      <c r="A962" s="29"/>
      <c r="B962" s="18" t="s">
        <v>381</v>
      </c>
      <c r="C962" s="24" t="s">
        <v>382</v>
      </c>
      <c r="D962" s="22" t="s">
        <v>131</v>
      </c>
      <c r="E962" s="22" t="s">
        <v>126</v>
      </c>
      <c r="F962" s="24"/>
      <c r="G962" s="21">
        <f>G963+G966+G969</f>
        <v>9050.2</v>
      </c>
      <c r="H962" s="21">
        <f>H963+H966+H969</f>
        <v>7154.2</v>
      </c>
      <c r="K962" s="21">
        <f>K963+K966+K969</f>
        <v>8163.2</v>
      </c>
      <c r="L962" s="21">
        <f>L963+L966+L969</f>
        <v>6722.7</v>
      </c>
      <c r="M962" s="83"/>
    </row>
    <row r="963" spans="1:13" ht="31.5">
      <c r="A963" s="29"/>
      <c r="B963" s="18" t="s">
        <v>52</v>
      </c>
      <c r="C963" s="19" t="s">
        <v>383</v>
      </c>
      <c r="D963" s="19" t="s">
        <v>131</v>
      </c>
      <c r="E963" s="19" t="s">
        <v>126</v>
      </c>
      <c r="F963" s="19"/>
      <c r="G963" s="21">
        <f>G964</f>
        <v>1815.3000000000002</v>
      </c>
      <c r="H963" s="21"/>
      <c r="K963" s="21">
        <f>K964</f>
        <v>1360</v>
      </c>
      <c r="L963" s="21"/>
      <c r="M963" s="83"/>
    </row>
    <row r="964" spans="1:13" ht="15.75">
      <c r="A964" s="29"/>
      <c r="B964" s="18" t="s">
        <v>184</v>
      </c>
      <c r="C964" s="19" t="s">
        <v>383</v>
      </c>
      <c r="D964" s="19" t="s">
        <v>131</v>
      </c>
      <c r="E964" s="19" t="s">
        <v>126</v>
      </c>
      <c r="F964" s="19" t="s">
        <v>185</v>
      </c>
      <c r="G964" s="21">
        <f>G965</f>
        <v>1815.3000000000002</v>
      </c>
      <c r="H964" s="21"/>
      <c r="K964" s="21">
        <f>K965</f>
        <v>1360</v>
      </c>
      <c r="L964" s="21"/>
      <c r="M964" s="83"/>
    </row>
    <row r="965" spans="1:13" ht="47.25">
      <c r="A965" s="29"/>
      <c r="B965" s="18" t="s">
        <v>20</v>
      </c>
      <c r="C965" s="19" t="s">
        <v>383</v>
      </c>
      <c r="D965" s="19" t="s">
        <v>131</v>
      </c>
      <c r="E965" s="19" t="s">
        <v>126</v>
      </c>
      <c r="F965" s="19" t="s">
        <v>191</v>
      </c>
      <c r="G965" s="21">
        <f>3060-355.7-889</f>
        <v>1815.3000000000002</v>
      </c>
      <c r="H965" s="21"/>
      <c r="K965" s="21">
        <v>1360</v>
      </c>
      <c r="L965" s="21"/>
      <c r="M965" s="83"/>
    </row>
    <row r="966" spans="1:13" ht="15.75">
      <c r="A966" s="29"/>
      <c r="B966" s="18" t="s">
        <v>380</v>
      </c>
      <c r="C966" s="19" t="s">
        <v>383</v>
      </c>
      <c r="D966" s="19" t="s">
        <v>131</v>
      </c>
      <c r="E966" s="19" t="s">
        <v>126</v>
      </c>
      <c r="F966" s="19"/>
      <c r="G966" s="21">
        <f>G967</f>
        <v>6879.2</v>
      </c>
      <c r="H966" s="21">
        <f>H967</f>
        <v>6879.2</v>
      </c>
      <c r="K966" s="21">
        <f>K967</f>
        <v>6447.7</v>
      </c>
      <c r="L966" s="21">
        <f>L967</f>
        <v>6447.7</v>
      </c>
      <c r="M966" s="83"/>
    </row>
    <row r="967" spans="1:13" ht="15.75">
      <c r="A967" s="29"/>
      <c r="B967" s="18" t="s">
        <v>184</v>
      </c>
      <c r="C967" s="19" t="s">
        <v>383</v>
      </c>
      <c r="D967" s="19" t="s">
        <v>131</v>
      </c>
      <c r="E967" s="19" t="s">
        <v>126</v>
      </c>
      <c r="F967" s="19" t="s">
        <v>185</v>
      </c>
      <c r="G967" s="21">
        <f>G968</f>
        <v>6879.2</v>
      </c>
      <c r="H967" s="21">
        <f>H968</f>
        <v>6879.2</v>
      </c>
      <c r="K967" s="21">
        <f>K968</f>
        <v>6447.7</v>
      </c>
      <c r="L967" s="21">
        <f>L968</f>
        <v>6447.7</v>
      </c>
      <c r="M967" s="83"/>
    </row>
    <row r="968" spans="1:13" ht="47.25">
      <c r="A968" s="29"/>
      <c r="B968" s="18" t="s">
        <v>20</v>
      </c>
      <c r="C968" s="19" t="s">
        <v>383</v>
      </c>
      <c r="D968" s="19" t="s">
        <v>131</v>
      </c>
      <c r="E968" s="19" t="s">
        <v>126</v>
      </c>
      <c r="F968" s="19" t="s">
        <v>191</v>
      </c>
      <c r="G968" s="21">
        <f>3828.9-1740.4+4790.7</f>
        <v>6879.2</v>
      </c>
      <c r="H968" s="21">
        <f>G968</f>
        <v>6879.2</v>
      </c>
      <c r="K968" s="21">
        <v>6447.7</v>
      </c>
      <c r="L968" s="21">
        <f>K968</f>
        <v>6447.7</v>
      </c>
      <c r="M968" s="83"/>
    </row>
    <row r="969" spans="1:13" ht="82.5" customHeight="1">
      <c r="A969" s="29"/>
      <c r="B969" s="18" t="s">
        <v>658</v>
      </c>
      <c r="C969" s="19" t="s">
        <v>657</v>
      </c>
      <c r="D969" s="19" t="s">
        <v>131</v>
      </c>
      <c r="E969" s="19" t="s">
        <v>126</v>
      </c>
      <c r="F969" s="19"/>
      <c r="G969" s="21">
        <f>G970</f>
        <v>355.7</v>
      </c>
      <c r="H969" s="21">
        <f>H970</f>
        <v>275</v>
      </c>
      <c r="K969" s="21">
        <f>K970</f>
        <v>355.5</v>
      </c>
      <c r="L969" s="21">
        <f>L970</f>
        <v>275</v>
      </c>
      <c r="M969" s="83"/>
    </row>
    <row r="970" spans="1:13" ht="15.75">
      <c r="A970" s="29"/>
      <c r="B970" s="18" t="s">
        <v>184</v>
      </c>
      <c r="C970" s="19" t="s">
        <v>657</v>
      </c>
      <c r="D970" s="19" t="s">
        <v>131</v>
      </c>
      <c r="E970" s="19" t="s">
        <v>126</v>
      </c>
      <c r="F970" s="19" t="s">
        <v>185</v>
      </c>
      <c r="G970" s="21">
        <f>G971</f>
        <v>355.7</v>
      </c>
      <c r="H970" s="21">
        <f>H971</f>
        <v>275</v>
      </c>
      <c r="K970" s="21">
        <f>K971</f>
        <v>355.5</v>
      </c>
      <c r="L970" s="21">
        <f>L971</f>
        <v>275</v>
      </c>
      <c r="M970" s="83"/>
    </row>
    <row r="971" spans="1:13" ht="51" customHeight="1">
      <c r="A971" s="29"/>
      <c r="B971" s="18" t="s">
        <v>20</v>
      </c>
      <c r="C971" s="19" t="s">
        <v>657</v>
      </c>
      <c r="D971" s="19" t="s">
        <v>131</v>
      </c>
      <c r="E971" s="19" t="s">
        <v>126</v>
      </c>
      <c r="F971" s="19" t="s">
        <v>191</v>
      </c>
      <c r="G971" s="21">
        <f>275+80.7</f>
        <v>355.7</v>
      </c>
      <c r="H971" s="21">
        <v>275</v>
      </c>
      <c r="K971" s="21">
        <v>355.5</v>
      </c>
      <c r="L971" s="21">
        <v>275</v>
      </c>
      <c r="M971" s="83"/>
    </row>
    <row r="972" spans="1:13" ht="18.75" customHeight="1">
      <c r="A972" s="29"/>
      <c r="B972" s="18" t="s">
        <v>387</v>
      </c>
      <c r="C972" s="19" t="s">
        <v>388</v>
      </c>
      <c r="D972" s="19"/>
      <c r="E972" s="19"/>
      <c r="F972" s="19"/>
      <c r="G972" s="21">
        <f>G979+G983+G986+G995+G989+G992+G973+G976</f>
        <v>159742</v>
      </c>
      <c r="H972" s="21">
        <f>H979+H983+H986+H995+H989+H992+H973+H976</f>
        <v>46190.9</v>
      </c>
      <c r="K972" s="21">
        <f>K979+K983+K986+K995+K989+K992+K973+K976</f>
        <v>128196.1</v>
      </c>
      <c r="L972" s="21">
        <f>L979+L983+L986+L995+L989+L992+L973+L976</f>
        <v>20169.4</v>
      </c>
      <c r="M972" s="83"/>
    </row>
    <row r="973" spans="1:13" ht="20.25" customHeight="1">
      <c r="A973" s="29"/>
      <c r="B973" s="18" t="s">
        <v>645</v>
      </c>
      <c r="C973" s="22" t="s">
        <v>646</v>
      </c>
      <c r="D973" s="22" t="s">
        <v>131</v>
      </c>
      <c r="E973" s="22" t="s">
        <v>150</v>
      </c>
      <c r="F973" s="24" t="str">
        <f>F974</f>
        <v>200</v>
      </c>
      <c r="G973" s="21">
        <f>G974</f>
        <v>35901.3</v>
      </c>
      <c r="H973" s="21">
        <f>H974</f>
        <v>35901.3</v>
      </c>
      <c r="K973" s="21">
        <f>K974</f>
        <v>9879.8</v>
      </c>
      <c r="L973" s="21">
        <f>L974</f>
        <v>9879.8</v>
      </c>
      <c r="M973" s="83"/>
    </row>
    <row r="974" spans="1:13" ht="18" customHeight="1">
      <c r="A974" s="29"/>
      <c r="B974" s="18" t="s">
        <v>159</v>
      </c>
      <c r="C974" s="22" t="s">
        <v>646</v>
      </c>
      <c r="D974" s="22" t="s">
        <v>131</v>
      </c>
      <c r="E974" s="22" t="s">
        <v>150</v>
      </c>
      <c r="F974" s="22" t="s">
        <v>158</v>
      </c>
      <c r="G974" s="21">
        <f>G975</f>
        <v>35901.3</v>
      </c>
      <c r="H974" s="21">
        <f>H975</f>
        <v>35901.3</v>
      </c>
      <c r="K974" s="21">
        <f>K975</f>
        <v>9879.8</v>
      </c>
      <c r="L974" s="21">
        <f>L975</f>
        <v>9879.8</v>
      </c>
      <c r="M974" s="83"/>
    </row>
    <row r="975" spans="1:13" ht="31.5">
      <c r="A975" s="29"/>
      <c r="B975" s="18" t="s">
        <v>165</v>
      </c>
      <c r="C975" s="22" t="s">
        <v>646</v>
      </c>
      <c r="D975" s="22" t="s">
        <v>131</v>
      </c>
      <c r="E975" s="22" t="s">
        <v>150</v>
      </c>
      <c r="F975" s="22" t="s">
        <v>164</v>
      </c>
      <c r="G975" s="21">
        <f>26403.8+9497.5</f>
        <v>35901.3</v>
      </c>
      <c r="H975" s="21">
        <f>G975</f>
        <v>35901.3</v>
      </c>
      <c r="K975" s="21">
        <v>9879.8</v>
      </c>
      <c r="L975" s="21">
        <f>K975</f>
        <v>9879.8</v>
      </c>
      <c r="M975" s="83"/>
    </row>
    <row r="976" spans="1:13" ht="31.5">
      <c r="A976" s="29"/>
      <c r="B976" s="18" t="s">
        <v>647</v>
      </c>
      <c r="C976" s="22" t="s">
        <v>646</v>
      </c>
      <c r="D976" s="22" t="s">
        <v>131</v>
      </c>
      <c r="E976" s="22" t="s">
        <v>150</v>
      </c>
      <c r="F976" s="22"/>
      <c r="G976" s="21">
        <f>G977</f>
        <v>10542.9</v>
      </c>
      <c r="H976" s="21">
        <f>H977</f>
        <v>0</v>
      </c>
      <c r="K976" s="21">
        <f>K977</f>
        <v>5024.5</v>
      </c>
      <c r="L976" s="21">
        <f>L977</f>
        <v>0</v>
      </c>
      <c r="M976" s="83"/>
    </row>
    <row r="977" spans="1:13" ht="15.75">
      <c r="A977" s="29"/>
      <c r="B977" s="18" t="s">
        <v>159</v>
      </c>
      <c r="C977" s="22" t="s">
        <v>646</v>
      </c>
      <c r="D977" s="22" t="s">
        <v>131</v>
      </c>
      <c r="E977" s="22" t="s">
        <v>150</v>
      </c>
      <c r="F977" s="22" t="s">
        <v>158</v>
      </c>
      <c r="G977" s="21">
        <f>G978</f>
        <v>10542.9</v>
      </c>
      <c r="H977" s="21">
        <f>H978</f>
        <v>0</v>
      </c>
      <c r="K977" s="21">
        <f>K978</f>
        <v>5024.5</v>
      </c>
      <c r="L977" s="21">
        <f>L978</f>
        <v>0</v>
      </c>
      <c r="M977" s="83"/>
    </row>
    <row r="978" spans="1:13" ht="31.5">
      <c r="A978" s="29"/>
      <c r="B978" s="18" t="s">
        <v>165</v>
      </c>
      <c r="C978" s="22" t="s">
        <v>646</v>
      </c>
      <c r="D978" s="22" t="s">
        <v>131</v>
      </c>
      <c r="E978" s="22" t="s">
        <v>150</v>
      </c>
      <c r="F978" s="22" t="s">
        <v>164</v>
      </c>
      <c r="G978" s="21">
        <f>7753.8+2789.1</f>
        <v>10542.9</v>
      </c>
      <c r="H978" s="21">
        <v>0</v>
      </c>
      <c r="K978" s="21">
        <v>5024.5</v>
      </c>
      <c r="L978" s="21">
        <v>0</v>
      </c>
      <c r="M978" s="83"/>
    </row>
    <row r="979" spans="1:13" ht="31.5">
      <c r="A979" s="29"/>
      <c r="B979" s="18" t="s">
        <v>367</v>
      </c>
      <c r="C979" s="24" t="s">
        <v>388</v>
      </c>
      <c r="D979" s="22" t="s">
        <v>131</v>
      </c>
      <c r="E979" s="22" t="s">
        <v>131</v>
      </c>
      <c r="F979" s="24"/>
      <c r="G979" s="21">
        <f aca="true" t="shared" si="10" ref="G979:H981">G980</f>
        <v>612</v>
      </c>
      <c r="H979" s="21">
        <f t="shared" si="10"/>
        <v>612</v>
      </c>
      <c r="K979" s="21">
        <f aca="true" t="shared" si="11" ref="K979:L981">K980</f>
        <v>612</v>
      </c>
      <c r="L979" s="21">
        <f t="shared" si="11"/>
        <v>612</v>
      </c>
      <c r="M979" s="83"/>
    </row>
    <row r="980" spans="1:13" ht="47.25">
      <c r="A980" s="29"/>
      <c r="B980" s="18" t="s">
        <v>365</v>
      </c>
      <c r="C980" s="19" t="s">
        <v>389</v>
      </c>
      <c r="D980" s="19" t="s">
        <v>131</v>
      </c>
      <c r="E980" s="19" t="s">
        <v>131</v>
      </c>
      <c r="F980" s="19"/>
      <c r="G980" s="21">
        <f t="shared" si="10"/>
        <v>612</v>
      </c>
      <c r="H980" s="21">
        <f t="shared" si="10"/>
        <v>612</v>
      </c>
      <c r="K980" s="21">
        <f t="shared" si="11"/>
        <v>612</v>
      </c>
      <c r="L980" s="21">
        <f t="shared" si="11"/>
        <v>612</v>
      </c>
      <c r="M980" s="83"/>
    </row>
    <row r="981" spans="1:13" ht="63">
      <c r="A981" s="29"/>
      <c r="B981" s="18" t="s">
        <v>170</v>
      </c>
      <c r="C981" s="19" t="s">
        <v>389</v>
      </c>
      <c r="D981" s="19" t="s">
        <v>131</v>
      </c>
      <c r="E981" s="19" t="s">
        <v>131</v>
      </c>
      <c r="F981" s="19" t="s">
        <v>168</v>
      </c>
      <c r="G981" s="21">
        <f t="shared" si="10"/>
        <v>612</v>
      </c>
      <c r="H981" s="21">
        <f t="shared" si="10"/>
        <v>612</v>
      </c>
      <c r="K981" s="21">
        <f t="shared" si="11"/>
        <v>612</v>
      </c>
      <c r="L981" s="21">
        <f t="shared" si="11"/>
        <v>612</v>
      </c>
      <c r="M981" s="83"/>
    </row>
    <row r="982" spans="1:13" ht="15.75">
      <c r="A982" s="29"/>
      <c r="B982" s="18" t="s">
        <v>189</v>
      </c>
      <c r="C982" s="19" t="s">
        <v>389</v>
      </c>
      <c r="D982" s="19" t="s">
        <v>131</v>
      </c>
      <c r="E982" s="19" t="s">
        <v>131</v>
      </c>
      <c r="F982" s="19" t="s">
        <v>169</v>
      </c>
      <c r="G982" s="21">
        <f>540+72</f>
        <v>612</v>
      </c>
      <c r="H982" s="21">
        <f>G982</f>
        <v>612</v>
      </c>
      <c r="K982" s="21">
        <f>540+72</f>
        <v>612</v>
      </c>
      <c r="L982" s="21">
        <f>K982</f>
        <v>612</v>
      </c>
      <c r="M982" s="83"/>
    </row>
    <row r="983" spans="1:13" ht="94.5">
      <c r="A983" s="29"/>
      <c r="B983" s="18" t="s">
        <v>470</v>
      </c>
      <c r="C983" s="19" t="s">
        <v>471</v>
      </c>
      <c r="D983" s="19" t="s">
        <v>129</v>
      </c>
      <c r="E983" s="19" t="s">
        <v>125</v>
      </c>
      <c r="F983" s="19"/>
      <c r="G983" s="21">
        <f>G984</f>
        <v>17476.6</v>
      </c>
      <c r="H983" s="21"/>
      <c r="K983" s="21">
        <f>K984</f>
        <v>17470.6</v>
      </c>
      <c r="L983" s="21"/>
      <c r="M983" s="83"/>
    </row>
    <row r="984" spans="1:13" ht="31.5">
      <c r="A984" s="29"/>
      <c r="B984" s="18" t="s">
        <v>157</v>
      </c>
      <c r="C984" s="19" t="s">
        <v>471</v>
      </c>
      <c r="D984" s="19" t="s">
        <v>129</v>
      </c>
      <c r="E984" s="19" t="s">
        <v>125</v>
      </c>
      <c r="F984" s="19">
        <v>600</v>
      </c>
      <c r="G984" s="21">
        <f>G985</f>
        <v>17476.6</v>
      </c>
      <c r="H984" s="21"/>
      <c r="K984" s="21">
        <f>K985</f>
        <v>17470.6</v>
      </c>
      <c r="L984" s="21"/>
      <c r="M984" s="83"/>
    </row>
    <row r="985" spans="1:13" ht="15.75">
      <c r="A985" s="29"/>
      <c r="B985" s="18" t="s">
        <v>167</v>
      </c>
      <c r="C985" s="19" t="s">
        <v>471</v>
      </c>
      <c r="D985" s="19" t="s">
        <v>129</v>
      </c>
      <c r="E985" s="19" t="s">
        <v>125</v>
      </c>
      <c r="F985" s="19">
        <v>610</v>
      </c>
      <c r="G985" s="21">
        <f>22000-7756.2-1467.2+2700+2000</f>
        <v>17476.6</v>
      </c>
      <c r="H985" s="21"/>
      <c r="K985" s="21">
        <v>17470.6</v>
      </c>
      <c r="L985" s="21"/>
      <c r="M985" s="83"/>
    </row>
    <row r="986" spans="1:13" ht="94.5">
      <c r="A986" s="29"/>
      <c r="B986" s="18" t="s">
        <v>583</v>
      </c>
      <c r="C986" s="19" t="s">
        <v>611</v>
      </c>
      <c r="D986" s="19" t="s">
        <v>129</v>
      </c>
      <c r="E986" s="19" t="s">
        <v>125</v>
      </c>
      <c r="F986" s="19"/>
      <c r="G986" s="21">
        <f>G987</f>
        <v>27089</v>
      </c>
      <c r="H986" s="21"/>
      <c r="K986" s="21">
        <f>K987</f>
        <v>27089</v>
      </c>
      <c r="L986" s="21"/>
      <c r="M986" s="83"/>
    </row>
    <row r="987" spans="1:13" ht="31.5">
      <c r="A987" s="29"/>
      <c r="B987" s="18" t="s">
        <v>157</v>
      </c>
      <c r="C987" s="19" t="s">
        <v>611</v>
      </c>
      <c r="D987" s="19" t="s">
        <v>129</v>
      </c>
      <c r="E987" s="19" t="s">
        <v>125</v>
      </c>
      <c r="F987" s="19">
        <v>600</v>
      </c>
      <c r="G987" s="21">
        <f>G988</f>
        <v>27089</v>
      </c>
      <c r="H987" s="21"/>
      <c r="K987" s="21">
        <f>K988</f>
        <v>27089</v>
      </c>
      <c r="L987" s="21"/>
      <c r="M987" s="83"/>
    </row>
    <row r="988" spans="1:13" ht="15.75">
      <c r="A988" s="29"/>
      <c r="B988" s="18" t="s">
        <v>167</v>
      </c>
      <c r="C988" s="19" t="s">
        <v>611</v>
      </c>
      <c r="D988" s="19" t="s">
        <v>129</v>
      </c>
      <c r="E988" s="19" t="s">
        <v>125</v>
      </c>
      <c r="F988" s="19">
        <v>610</v>
      </c>
      <c r="G988" s="21">
        <f>27089</f>
        <v>27089</v>
      </c>
      <c r="H988" s="21"/>
      <c r="K988" s="21">
        <f>27089</f>
        <v>27089</v>
      </c>
      <c r="L988" s="21"/>
      <c r="M988" s="83"/>
    </row>
    <row r="989" spans="1:13" ht="78.75">
      <c r="A989" s="29"/>
      <c r="B989" s="18" t="s">
        <v>543</v>
      </c>
      <c r="C989" s="19" t="s">
        <v>611</v>
      </c>
      <c r="D989" s="19" t="s">
        <v>129</v>
      </c>
      <c r="E989" s="19" t="s">
        <v>125</v>
      </c>
      <c r="F989" s="19"/>
      <c r="G989" s="21">
        <f>G990</f>
        <v>9223.3</v>
      </c>
      <c r="H989" s="21"/>
      <c r="K989" s="21">
        <f>K990</f>
        <v>9223.3</v>
      </c>
      <c r="L989" s="21"/>
      <c r="M989" s="83"/>
    </row>
    <row r="990" spans="1:13" ht="33" customHeight="1">
      <c r="A990" s="29"/>
      <c r="B990" s="18" t="s">
        <v>157</v>
      </c>
      <c r="C990" s="19" t="s">
        <v>611</v>
      </c>
      <c r="D990" s="19" t="s">
        <v>129</v>
      </c>
      <c r="E990" s="19" t="s">
        <v>125</v>
      </c>
      <c r="F990" s="19">
        <v>600</v>
      </c>
      <c r="G990" s="21">
        <f>G991</f>
        <v>9223.3</v>
      </c>
      <c r="H990" s="21"/>
      <c r="K990" s="21">
        <f>K991</f>
        <v>9223.3</v>
      </c>
      <c r="L990" s="21"/>
      <c r="M990" s="83"/>
    </row>
    <row r="991" spans="1:13" ht="19.5" customHeight="1">
      <c r="A991" s="29"/>
      <c r="B991" s="18" t="s">
        <v>167</v>
      </c>
      <c r="C991" s="19" t="s">
        <v>611</v>
      </c>
      <c r="D991" s="19" t="s">
        <v>129</v>
      </c>
      <c r="E991" s="19" t="s">
        <v>125</v>
      </c>
      <c r="F991" s="19">
        <v>610</v>
      </c>
      <c r="G991" s="21">
        <v>9223.3</v>
      </c>
      <c r="H991" s="21"/>
      <c r="K991" s="21">
        <v>9223.3</v>
      </c>
      <c r="L991" s="21"/>
      <c r="M991" s="83"/>
    </row>
    <row r="992" spans="1:13" ht="157.5" customHeight="1">
      <c r="A992" s="29"/>
      <c r="B992" s="18" t="s">
        <v>586</v>
      </c>
      <c r="C992" s="19" t="s">
        <v>587</v>
      </c>
      <c r="D992" s="19" t="s">
        <v>131</v>
      </c>
      <c r="E992" s="19" t="s">
        <v>127</v>
      </c>
      <c r="F992" s="19"/>
      <c r="G992" s="21">
        <f>G993</f>
        <v>49219.3</v>
      </c>
      <c r="H992" s="21"/>
      <c r="K992" s="21">
        <f>K993</f>
        <v>49219.3</v>
      </c>
      <c r="L992" s="21"/>
      <c r="M992" s="83"/>
    </row>
    <row r="993" spans="1:13" ht="33.75" customHeight="1">
      <c r="A993" s="29"/>
      <c r="B993" s="18" t="s">
        <v>157</v>
      </c>
      <c r="C993" s="19" t="s">
        <v>587</v>
      </c>
      <c r="D993" s="19" t="s">
        <v>131</v>
      </c>
      <c r="E993" s="19" t="s">
        <v>127</v>
      </c>
      <c r="F993" s="19">
        <v>600</v>
      </c>
      <c r="G993" s="21">
        <f>G994</f>
        <v>49219.3</v>
      </c>
      <c r="H993" s="21"/>
      <c r="K993" s="21">
        <f>K994</f>
        <v>49219.3</v>
      </c>
      <c r="L993" s="21"/>
      <c r="M993" s="83"/>
    </row>
    <row r="994" spans="1:13" ht="18.75" customHeight="1">
      <c r="A994" s="29"/>
      <c r="B994" s="18" t="s">
        <v>167</v>
      </c>
      <c r="C994" s="19" t="s">
        <v>587</v>
      </c>
      <c r="D994" s="19" t="s">
        <v>131</v>
      </c>
      <c r="E994" s="19" t="s">
        <v>127</v>
      </c>
      <c r="F994" s="19">
        <v>610</v>
      </c>
      <c r="G994" s="21">
        <v>49219.3</v>
      </c>
      <c r="H994" s="21"/>
      <c r="K994" s="21">
        <v>49219.3</v>
      </c>
      <c r="L994" s="21"/>
      <c r="M994" s="83"/>
    </row>
    <row r="995" spans="1:13" ht="33.75" customHeight="1">
      <c r="A995" s="29"/>
      <c r="B995" s="18" t="s">
        <v>550</v>
      </c>
      <c r="C995" s="19" t="s">
        <v>551</v>
      </c>
      <c r="D995" s="19" t="s">
        <v>136</v>
      </c>
      <c r="E995" s="19" t="s">
        <v>131</v>
      </c>
      <c r="F995" s="19"/>
      <c r="G995" s="21">
        <f>G996</f>
        <v>9677.6</v>
      </c>
      <c r="H995" s="21">
        <f>H996</f>
        <v>9677.6</v>
      </c>
      <c r="K995" s="21">
        <f>K996</f>
        <v>9677.6</v>
      </c>
      <c r="L995" s="21">
        <f>L996</f>
        <v>9677.6</v>
      </c>
      <c r="M995" s="83"/>
    </row>
    <row r="996" spans="1:13" ht="17.25" customHeight="1">
      <c r="A996" s="29"/>
      <c r="B996" s="18" t="s">
        <v>184</v>
      </c>
      <c r="C996" s="19" t="s">
        <v>551</v>
      </c>
      <c r="D996" s="19" t="s">
        <v>136</v>
      </c>
      <c r="E996" s="19" t="s">
        <v>131</v>
      </c>
      <c r="F996" s="19" t="s">
        <v>185</v>
      </c>
      <c r="G996" s="21">
        <f>G997</f>
        <v>9677.6</v>
      </c>
      <c r="H996" s="21">
        <f>H997</f>
        <v>9677.6</v>
      </c>
      <c r="K996" s="21">
        <f>K997</f>
        <v>9677.6</v>
      </c>
      <c r="L996" s="21">
        <f>L997</f>
        <v>9677.6</v>
      </c>
      <c r="M996" s="83"/>
    </row>
    <row r="997" spans="1:13" ht="51" customHeight="1">
      <c r="A997" s="29"/>
      <c r="B997" s="18" t="s">
        <v>20</v>
      </c>
      <c r="C997" s="19" t="s">
        <v>551</v>
      </c>
      <c r="D997" s="19" t="s">
        <v>136</v>
      </c>
      <c r="E997" s="19" t="s">
        <v>131</v>
      </c>
      <c r="F997" s="19" t="s">
        <v>191</v>
      </c>
      <c r="G997" s="21">
        <v>9677.6</v>
      </c>
      <c r="H997" s="21">
        <v>9677.6</v>
      </c>
      <c r="K997" s="21">
        <v>9677.6</v>
      </c>
      <c r="L997" s="21">
        <v>9677.6</v>
      </c>
      <c r="M997" s="83"/>
    </row>
    <row r="998" spans="1:13" ht="47.25">
      <c r="A998" s="5">
        <v>18</v>
      </c>
      <c r="B998" s="32" t="s">
        <v>222</v>
      </c>
      <c r="C998" s="38" t="s">
        <v>81</v>
      </c>
      <c r="D998" s="42"/>
      <c r="E998" s="42"/>
      <c r="F998" s="38"/>
      <c r="G998" s="44">
        <f>G1012+G1004+G999+G1015</f>
        <v>28987.7</v>
      </c>
      <c r="H998" s="44"/>
      <c r="K998" s="44">
        <f>K1012+K1004+K999+K1015</f>
        <v>27799.9</v>
      </c>
      <c r="L998" s="44"/>
      <c r="M998" s="31">
        <f>K998/G998*100</f>
        <v>95.90239998344126</v>
      </c>
    </row>
    <row r="999" spans="1:13" ht="15.75">
      <c r="A999" s="5"/>
      <c r="B999" s="18" t="s">
        <v>59</v>
      </c>
      <c r="C999" s="22" t="s">
        <v>61</v>
      </c>
      <c r="D999" s="22" t="s">
        <v>126</v>
      </c>
      <c r="E999" s="22" t="s">
        <v>221</v>
      </c>
      <c r="F999" s="24"/>
      <c r="G999" s="21">
        <f>G1000+G1002</f>
        <v>5080.700000000001</v>
      </c>
      <c r="H999" s="21"/>
      <c r="K999" s="21">
        <f>K1000+K1002</f>
        <v>4269.2</v>
      </c>
      <c r="L999" s="21"/>
      <c r="M999" s="83"/>
    </row>
    <row r="1000" spans="1:13" ht="15.75">
      <c r="A1000" s="5"/>
      <c r="B1000" s="18" t="s">
        <v>159</v>
      </c>
      <c r="C1000" s="22" t="s">
        <v>61</v>
      </c>
      <c r="D1000" s="22" t="s">
        <v>126</v>
      </c>
      <c r="E1000" s="22" t="s">
        <v>221</v>
      </c>
      <c r="F1000" s="24" t="s">
        <v>158</v>
      </c>
      <c r="G1000" s="21">
        <f>G1001</f>
        <v>2388.3</v>
      </c>
      <c r="H1000" s="21"/>
      <c r="K1000" s="21">
        <f>K1001</f>
        <v>1622.8</v>
      </c>
      <c r="L1000" s="21"/>
      <c r="M1000" s="83"/>
    </row>
    <row r="1001" spans="1:13" ht="31.5">
      <c r="A1001" s="5"/>
      <c r="B1001" s="18" t="s">
        <v>165</v>
      </c>
      <c r="C1001" s="22" t="s">
        <v>61</v>
      </c>
      <c r="D1001" s="22" t="s">
        <v>126</v>
      </c>
      <c r="E1001" s="22" t="s">
        <v>221</v>
      </c>
      <c r="F1001" s="24" t="s">
        <v>164</v>
      </c>
      <c r="G1001" s="21">
        <f>6280-1036.9-505.5-1000-185.5-55.9-1107.9</f>
        <v>2388.3</v>
      </c>
      <c r="H1001" s="21"/>
      <c r="K1001" s="21">
        <v>1622.8</v>
      </c>
      <c r="L1001" s="21"/>
      <c r="M1001" s="83"/>
    </row>
    <row r="1002" spans="1:13" ht="31.5">
      <c r="A1002" s="5"/>
      <c r="B1002" s="53" t="s">
        <v>157</v>
      </c>
      <c r="C1002" s="22" t="s">
        <v>61</v>
      </c>
      <c r="D1002" s="22" t="s">
        <v>126</v>
      </c>
      <c r="E1002" s="22" t="s">
        <v>221</v>
      </c>
      <c r="F1002" s="24" t="s">
        <v>156</v>
      </c>
      <c r="G1002" s="21">
        <f>G1003</f>
        <v>2692.4</v>
      </c>
      <c r="H1002" s="21"/>
      <c r="K1002" s="21">
        <f>K1003</f>
        <v>2646.4</v>
      </c>
      <c r="L1002" s="21"/>
      <c r="M1002" s="83"/>
    </row>
    <row r="1003" spans="1:13" ht="15.75">
      <c r="A1003" s="5"/>
      <c r="B1003" s="53" t="s">
        <v>167</v>
      </c>
      <c r="C1003" s="22" t="s">
        <v>61</v>
      </c>
      <c r="D1003" s="22" t="s">
        <v>126</v>
      </c>
      <c r="E1003" s="22" t="s">
        <v>221</v>
      </c>
      <c r="F1003" s="24" t="s">
        <v>166</v>
      </c>
      <c r="G1003" s="21">
        <f>1036.9+505.5+42.1+1107.9</f>
        <v>2692.4</v>
      </c>
      <c r="H1003" s="21"/>
      <c r="K1003" s="21">
        <v>2646.4</v>
      </c>
      <c r="L1003" s="21"/>
      <c r="M1003" s="83"/>
    </row>
    <row r="1004" spans="1:13" ht="31.5">
      <c r="A1004" s="29"/>
      <c r="B1004" s="18" t="s">
        <v>308</v>
      </c>
      <c r="C1004" s="22" t="s">
        <v>70</v>
      </c>
      <c r="D1004" s="22" t="s">
        <v>129</v>
      </c>
      <c r="E1004" s="22" t="s">
        <v>137</v>
      </c>
      <c r="F1004" s="24"/>
      <c r="G1004" s="21">
        <f>G1005</f>
        <v>9774.999999999998</v>
      </c>
      <c r="H1004" s="23"/>
      <c r="K1004" s="21">
        <f>K1005</f>
        <v>9761.5</v>
      </c>
      <c r="L1004" s="23"/>
      <c r="M1004" s="83"/>
    </row>
    <row r="1005" spans="1:13" ht="31.5">
      <c r="A1005" s="29"/>
      <c r="B1005" s="18" t="s">
        <v>50</v>
      </c>
      <c r="C1005" s="22" t="s">
        <v>70</v>
      </c>
      <c r="D1005" s="22" t="s">
        <v>129</v>
      </c>
      <c r="E1005" s="22" t="s">
        <v>137</v>
      </c>
      <c r="F1005" s="24"/>
      <c r="G1005" s="21">
        <f>G1006+G1008+G1010</f>
        <v>9774.999999999998</v>
      </c>
      <c r="H1005" s="23"/>
      <c r="K1005" s="21">
        <f>K1006+K1008+K1010</f>
        <v>9761.5</v>
      </c>
      <c r="L1005" s="23"/>
      <c r="M1005" s="83"/>
    </row>
    <row r="1006" spans="1:13" ht="63">
      <c r="A1006" s="29"/>
      <c r="B1006" s="18" t="s">
        <v>170</v>
      </c>
      <c r="C1006" s="22" t="s">
        <v>70</v>
      </c>
      <c r="D1006" s="22" t="s">
        <v>129</v>
      </c>
      <c r="E1006" s="22" t="s">
        <v>137</v>
      </c>
      <c r="F1006" s="22" t="s">
        <v>168</v>
      </c>
      <c r="G1006" s="21">
        <f>G1007</f>
        <v>9100.9</v>
      </c>
      <c r="H1006" s="23"/>
      <c r="K1006" s="21">
        <f>K1007</f>
        <v>9088.3</v>
      </c>
      <c r="L1006" s="23"/>
      <c r="M1006" s="83"/>
    </row>
    <row r="1007" spans="1:13" ht="15.75">
      <c r="A1007" s="29"/>
      <c r="B1007" s="18" t="s">
        <v>189</v>
      </c>
      <c r="C1007" s="22" t="s">
        <v>70</v>
      </c>
      <c r="D1007" s="22" t="s">
        <v>129</v>
      </c>
      <c r="E1007" s="22" t="s">
        <v>137</v>
      </c>
      <c r="F1007" s="22" t="s">
        <v>190</v>
      </c>
      <c r="G1007" s="21">
        <f>8756.4+185.5+122+37</f>
        <v>9100.9</v>
      </c>
      <c r="H1007" s="23"/>
      <c r="K1007" s="21">
        <v>9088.3</v>
      </c>
      <c r="L1007" s="23"/>
      <c r="M1007" s="83"/>
    </row>
    <row r="1008" spans="1:13" ht="15.75">
      <c r="A1008" s="29"/>
      <c r="B1008" s="18" t="s">
        <v>159</v>
      </c>
      <c r="C1008" s="22" t="s">
        <v>70</v>
      </c>
      <c r="D1008" s="22" t="s">
        <v>129</v>
      </c>
      <c r="E1008" s="22" t="s">
        <v>137</v>
      </c>
      <c r="F1008" s="24" t="s">
        <v>158</v>
      </c>
      <c r="G1008" s="21">
        <f>G1009</f>
        <v>672.3</v>
      </c>
      <c r="H1008" s="21"/>
      <c r="K1008" s="21">
        <f>K1009</f>
        <v>671.5</v>
      </c>
      <c r="L1008" s="21"/>
      <c r="M1008" s="83"/>
    </row>
    <row r="1009" spans="1:13" ht="31.5">
      <c r="A1009" s="29"/>
      <c r="B1009" s="18" t="s">
        <v>165</v>
      </c>
      <c r="C1009" s="22" t="s">
        <v>70</v>
      </c>
      <c r="D1009" s="22" t="s">
        <v>129</v>
      </c>
      <c r="E1009" s="22" t="s">
        <v>137</v>
      </c>
      <c r="F1009" s="24" t="s">
        <v>164</v>
      </c>
      <c r="G1009" s="21">
        <f>794.3-122</f>
        <v>672.3</v>
      </c>
      <c r="H1009" s="21"/>
      <c r="K1009" s="21">
        <v>671.5</v>
      </c>
      <c r="L1009" s="21"/>
      <c r="M1009" s="83"/>
    </row>
    <row r="1010" spans="1:13" ht="15.75">
      <c r="A1010" s="29"/>
      <c r="B1010" s="53" t="s">
        <v>184</v>
      </c>
      <c r="C1010" s="22" t="s">
        <v>70</v>
      </c>
      <c r="D1010" s="22" t="s">
        <v>129</v>
      </c>
      <c r="E1010" s="22" t="s">
        <v>137</v>
      </c>
      <c r="F1010" s="24" t="s">
        <v>185</v>
      </c>
      <c r="G1010" s="21">
        <f>G1011</f>
        <v>1.7999999999999972</v>
      </c>
      <c r="H1010" s="21"/>
      <c r="K1010" s="21">
        <f>K1011</f>
        <v>1.7</v>
      </c>
      <c r="L1010" s="21"/>
      <c r="M1010" s="83"/>
    </row>
    <row r="1011" spans="1:13" ht="15.75">
      <c r="A1011" s="29"/>
      <c r="B1011" s="53" t="s">
        <v>186</v>
      </c>
      <c r="C1011" s="22" t="s">
        <v>70</v>
      </c>
      <c r="D1011" s="22" t="s">
        <v>129</v>
      </c>
      <c r="E1011" s="22" t="s">
        <v>137</v>
      </c>
      <c r="F1011" s="24" t="s">
        <v>187</v>
      </c>
      <c r="G1011" s="21">
        <f>38.8-37</f>
        <v>1.7999999999999972</v>
      </c>
      <c r="H1011" s="21"/>
      <c r="K1011" s="21">
        <v>1.7</v>
      </c>
      <c r="L1011" s="21"/>
      <c r="M1011" s="83"/>
    </row>
    <row r="1012" spans="1:13" ht="31.5">
      <c r="A1012" s="29"/>
      <c r="B1012" s="18" t="s">
        <v>58</v>
      </c>
      <c r="C1012" s="22" t="s">
        <v>60</v>
      </c>
      <c r="D1012" s="22" t="s">
        <v>131</v>
      </c>
      <c r="E1012" s="22" t="s">
        <v>131</v>
      </c>
      <c r="F1012" s="24"/>
      <c r="G1012" s="21">
        <f>G1013</f>
        <v>12632</v>
      </c>
      <c r="H1012" s="21"/>
      <c r="K1012" s="21">
        <f>K1013</f>
        <v>12569.2</v>
      </c>
      <c r="L1012" s="21"/>
      <c r="M1012" s="83"/>
    </row>
    <row r="1013" spans="1:13" ht="15.75">
      <c r="A1013" s="29"/>
      <c r="B1013" s="18" t="s">
        <v>159</v>
      </c>
      <c r="C1013" s="22" t="s">
        <v>60</v>
      </c>
      <c r="D1013" s="22" t="s">
        <v>131</v>
      </c>
      <c r="E1013" s="22" t="s">
        <v>131</v>
      </c>
      <c r="F1013" s="24" t="s">
        <v>158</v>
      </c>
      <c r="G1013" s="21">
        <f>G1014</f>
        <v>12632</v>
      </c>
      <c r="H1013" s="21"/>
      <c r="K1013" s="21">
        <f>K1014</f>
        <v>12569.2</v>
      </c>
      <c r="L1013" s="21"/>
      <c r="M1013" s="83"/>
    </row>
    <row r="1014" spans="1:13" ht="31.5">
      <c r="A1014" s="29"/>
      <c r="B1014" s="18" t="s">
        <v>165</v>
      </c>
      <c r="C1014" s="22" t="s">
        <v>60</v>
      </c>
      <c r="D1014" s="22" t="s">
        <v>131</v>
      </c>
      <c r="E1014" s="22" t="s">
        <v>131</v>
      </c>
      <c r="F1014" s="24" t="s">
        <v>164</v>
      </c>
      <c r="G1014" s="21">
        <f>13132-500</f>
        <v>12632</v>
      </c>
      <c r="H1014" s="21"/>
      <c r="K1014" s="21">
        <v>12569.2</v>
      </c>
      <c r="L1014" s="21"/>
      <c r="M1014" s="83"/>
    </row>
    <row r="1015" spans="1:13" ht="15.75">
      <c r="A1015" s="29"/>
      <c r="B1015" s="14" t="s">
        <v>27</v>
      </c>
      <c r="C1015" s="24" t="s">
        <v>28</v>
      </c>
      <c r="D1015" s="22" t="s">
        <v>129</v>
      </c>
      <c r="E1015" s="22" t="s">
        <v>137</v>
      </c>
      <c r="F1015" s="24"/>
      <c r="G1015" s="21">
        <f>G1016</f>
        <v>1500</v>
      </c>
      <c r="H1015" s="21"/>
      <c r="K1015" s="21">
        <f>K1016</f>
        <v>1200</v>
      </c>
      <c r="L1015" s="21"/>
      <c r="M1015" s="83"/>
    </row>
    <row r="1016" spans="1:13" ht="15.75">
      <c r="A1016" s="29"/>
      <c r="B1016" s="18" t="s">
        <v>159</v>
      </c>
      <c r="C1016" s="24" t="s">
        <v>28</v>
      </c>
      <c r="D1016" s="22" t="s">
        <v>129</v>
      </c>
      <c r="E1016" s="22" t="s">
        <v>137</v>
      </c>
      <c r="F1016" s="24" t="s">
        <v>158</v>
      </c>
      <c r="G1016" s="21">
        <f>G1017</f>
        <v>1500</v>
      </c>
      <c r="H1016" s="21"/>
      <c r="K1016" s="21">
        <f>K1017</f>
        <v>1200</v>
      </c>
      <c r="L1016" s="21"/>
      <c r="M1016" s="83"/>
    </row>
    <row r="1017" spans="1:13" ht="31.5">
      <c r="A1017" s="29"/>
      <c r="B1017" s="18" t="s">
        <v>165</v>
      </c>
      <c r="C1017" s="24" t="s">
        <v>28</v>
      </c>
      <c r="D1017" s="22" t="s">
        <v>129</v>
      </c>
      <c r="E1017" s="22" t="s">
        <v>137</v>
      </c>
      <c r="F1017" s="24" t="s">
        <v>164</v>
      </c>
      <c r="G1017" s="21">
        <v>1500</v>
      </c>
      <c r="H1017" s="21"/>
      <c r="K1017" s="21">
        <v>1200</v>
      </c>
      <c r="L1017" s="21"/>
      <c r="M1017" s="83"/>
    </row>
    <row r="1018" spans="1:13" s="11" customFormat="1" ht="47.25">
      <c r="A1018" s="15">
        <v>19</v>
      </c>
      <c r="B1018" s="32" t="s">
        <v>325</v>
      </c>
      <c r="C1018" s="41" t="s">
        <v>82</v>
      </c>
      <c r="D1018" s="20"/>
      <c r="E1018" s="20"/>
      <c r="F1018" s="19"/>
      <c r="G1018" s="40">
        <f>G1019</f>
        <v>12198</v>
      </c>
      <c r="H1018" s="40">
        <f>H1019</f>
        <v>0</v>
      </c>
      <c r="K1018" s="40">
        <f>K1019</f>
        <v>6009</v>
      </c>
      <c r="L1018" s="40">
        <f>L1019</f>
        <v>0</v>
      </c>
      <c r="M1018" s="31">
        <f>K1018/G1018*100</f>
        <v>49.26217412690605</v>
      </c>
    </row>
    <row r="1019" spans="1:13" s="11" customFormat="1" ht="15.75">
      <c r="A1019" s="18"/>
      <c r="B1019" s="24" t="s">
        <v>153</v>
      </c>
      <c r="C1019" s="19" t="s">
        <v>341</v>
      </c>
      <c r="D1019" s="19" t="s">
        <v>131</v>
      </c>
      <c r="E1019" s="19" t="s">
        <v>139</v>
      </c>
      <c r="F1019" s="19"/>
      <c r="G1019" s="21">
        <f>G1020</f>
        <v>12198</v>
      </c>
      <c r="H1019" s="17">
        <f>H1020</f>
        <v>0</v>
      </c>
      <c r="K1019" s="21">
        <f>K1020</f>
        <v>6009</v>
      </c>
      <c r="L1019" s="17">
        <f>L1020</f>
        <v>0</v>
      </c>
      <c r="M1019" s="86"/>
    </row>
    <row r="1020" spans="1:13" s="11" customFormat="1" ht="15.75">
      <c r="A1020" s="18"/>
      <c r="B1020" s="24" t="s">
        <v>154</v>
      </c>
      <c r="C1020" s="19" t="s">
        <v>341</v>
      </c>
      <c r="D1020" s="19" t="s">
        <v>131</v>
      </c>
      <c r="E1020" s="19" t="s">
        <v>150</v>
      </c>
      <c r="F1020" s="19"/>
      <c r="G1020" s="21">
        <f>G1021</f>
        <v>12198</v>
      </c>
      <c r="H1020" s="21">
        <f>H1022</f>
        <v>0</v>
      </c>
      <c r="K1020" s="21">
        <f>K1021</f>
        <v>6009</v>
      </c>
      <c r="L1020" s="21">
        <f>L1022</f>
        <v>0</v>
      </c>
      <c r="M1020" s="86"/>
    </row>
    <row r="1021" spans="1:13" s="11" customFormat="1" ht="47.25">
      <c r="A1021" s="18"/>
      <c r="B1021" s="24" t="s">
        <v>55</v>
      </c>
      <c r="C1021" s="19" t="s">
        <v>296</v>
      </c>
      <c r="D1021" s="19" t="s">
        <v>131</v>
      </c>
      <c r="E1021" s="19" t="s">
        <v>150</v>
      </c>
      <c r="F1021" s="19"/>
      <c r="G1021" s="21">
        <f>G1022+G1024</f>
        <v>12198</v>
      </c>
      <c r="H1021" s="21"/>
      <c r="K1021" s="21">
        <f>K1022+K1024</f>
        <v>6009</v>
      </c>
      <c r="L1021" s="21"/>
      <c r="M1021" s="86"/>
    </row>
    <row r="1022" spans="1:13" s="11" customFormat="1" ht="15.75">
      <c r="A1022" s="18"/>
      <c r="B1022" s="53" t="s">
        <v>159</v>
      </c>
      <c r="C1022" s="19" t="s">
        <v>296</v>
      </c>
      <c r="D1022" s="19" t="s">
        <v>131</v>
      </c>
      <c r="E1022" s="19" t="s">
        <v>150</v>
      </c>
      <c r="F1022" s="19" t="s">
        <v>158</v>
      </c>
      <c r="G1022" s="21">
        <f>G1023</f>
        <v>10886.5</v>
      </c>
      <c r="H1022" s="18"/>
      <c r="K1022" s="21">
        <f>K1023</f>
        <v>5986.9</v>
      </c>
      <c r="L1022" s="18"/>
      <c r="M1022" s="86"/>
    </row>
    <row r="1023" spans="1:13" s="11" customFormat="1" ht="31.5">
      <c r="A1023" s="18"/>
      <c r="B1023" s="53" t="s">
        <v>165</v>
      </c>
      <c r="C1023" s="19" t="s">
        <v>296</v>
      </c>
      <c r="D1023" s="19" t="s">
        <v>131</v>
      </c>
      <c r="E1023" s="19" t="s">
        <v>150</v>
      </c>
      <c r="F1023" s="19" t="s">
        <v>164</v>
      </c>
      <c r="G1023" s="21">
        <f>12091.4+2385+2080.8-9800+1521+1980.8+100-1311.5+889+950</f>
        <v>10886.5</v>
      </c>
      <c r="H1023" s="18"/>
      <c r="K1023" s="21">
        <v>5986.9</v>
      </c>
      <c r="L1023" s="18"/>
      <c r="M1023" s="86"/>
    </row>
    <row r="1024" spans="1:13" s="11" customFormat="1" ht="31.5">
      <c r="A1024" s="18"/>
      <c r="B1024" s="53" t="s">
        <v>157</v>
      </c>
      <c r="C1024" s="19" t="s">
        <v>296</v>
      </c>
      <c r="D1024" s="19" t="s">
        <v>131</v>
      </c>
      <c r="E1024" s="19" t="s">
        <v>150</v>
      </c>
      <c r="F1024" s="19" t="s">
        <v>156</v>
      </c>
      <c r="G1024" s="21">
        <f>G1025</f>
        <v>1311.5</v>
      </c>
      <c r="H1024" s="18"/>
      <c r="K1024" s="21">
        <f>K1025</f>
        <v>22.1</v>
      </c>
      <c r="L1024" s="18"/>
      <c r="M1024" s="86"/>
    </row>
    <row r="1025" spans="1:13" s="11" customFormat="1" ht="15.75">
      <c r="A1025" s="18"/>
      <c r="B1025" s="53" t="s">
        <v>167</v>
      </c>
      <c r="C1025" s="19" t="s">
        <v>296</v>
      </c>
      <c r="D1025" s="19" t="s">
        <v>131</v>
      </c>
      <c r="E1025" s="19" t="s">
        <v>150</v>
      </c>
      <c r="F1025" s="19" t="s">
        <v>166</v>
      </c>
      <c r="G1025" s="21">
        <v>1311.5</v>
      </c>
      <c r="H1025" s="18"/>
      <c r="K1025" s="21">
        <v>22.1</v>
      </c>
      <c r="L1025" s="18"/>
      <c r="M1025" s="86"/>
    </row>
    <row r="1026" spans="1:13" s="11" customFormat="1" ht="47.25">
      <c r="A1026" s="15">
        <v>20</v>
      </c>
      <c r="B1026" s="58" t="s">
        <v>1</v>
      </c>
      <c r="C1026" s="41" t="s">
        <v>83</v>
      </c>
      <c r="D1026" s="41"/>
      <c r="E1026" s="41"/>
      <c r="F1026" s="38"/>
      <c r="G1026" s="44">
        <f>G1028+G1036+G1030+G1043+G1033</f>
        <v>44722.899999999994</v>
      </c>
      <c r="H1026" s="18"/>
      <c r="K1026" s="44">
        <f>K1028+K1036+K1030+K1043+K1033</f>
        <v>43527.8</v>
      </c>
      <c r="L1026" s="18"/>
      <c r="M1026" s="31">
        <f>K1026/G1026*100</f>
        <v>97.32776720650944</v>
      </c>
    </row>
    <row r="1027" spans="1:13" s="11" customFormat="1" ht="15.75">
      <c r="A1027" s="15"/>
      <c r="B1027" s="53" t="s">
        <v>72</v>
      </c>
      <c r="C1027" s="19" t="s">
        <v>297</v>
      </c>
      <c r="D1027" s="19" t="s">
        <v>131</v>
      </c>
      <c r="E1027" s="19" t="s">
        <v>127</v>
      </c>
      <c r="F1027" s="24"/>
      <c r="G1027" s="51">
        <f>G1028</f>
        <v>18610.1</v>
      </c>
      <c r="H1027" s="18"/>
      <c r="K1027" s="51">
        <f>K1028</f>
        <v>17673.4</v>
      </c>
      <c r="L1027" s="18"/>
      <c r="M1027" s="86"/>
    </row>
    <row r="1028" spans="1:13" s="11" customFormat="1" ht="15.75">
      <c r="A1028" s="18"/>
      <c r="B1028" s="53" t="s">
        <v>159</v>
      </c>
      <c r="C1028" s="19" t="s">
        <v>297</v>
      </c>
      <c r="D1028" s="19" t="s">
        <v>131</v>
      </c>
      <c r="E1028" s="19" t="s">
        <v>127</v>
      </c>
      <c r="F1028" s="24" t="s">
        <v>158</v>
      </c>
      <c r="G1028" s="21">
        <f>G1029</f>
        <v>18610.1</v>
      </c>
      <c r="H1028" s="18"/>
      <c r="K1028" s="21">
        <f>K1029</f>
        <v>17673.4</v>
      </c>
      <c r="L1028" s="18"/>
      <c r="M1028" s="86"/>
    </row>
    <row r="1029" spans="1:13" s="11" customFormat="1" ht="31.5">
      <c r="A1029" s="18"/>
      <c r="B1029" s="53" t="s">
        <v>165</v>
      </c>
      <c r="C1029" s="19" t="s">
        <v>297</v>
      </c>
      <c r="D1029" s="19" t="s">
        <v>131</v>
      </c>
      <c r="E1029" s="19" t="s">
        <v>127</v>
      </c>
      <c r="F1029" s="24" t="s">
        <v>164</v>
      </c>
      <c r="G1029" s="21">
        <f>17183.5+1567.1-510-25+350+44.5</f>
        <v>18610.1</v>
      </c>
      <c r="H1029" s="18"/>
      <c r="K1029" s="21">
        <v>17673.4</v>
      </c>
      <c r="L1029" s="18"/>
      <c r="M1029" s="86"/>
    </row>
    <row r="1030" spans="1:13" s="11" customFormat="1" ht="31.5">
      <c r="A1030" s="18"/>
      <c r="B1030" s="18" t="s">
        <v>227</v>
      </c>
      <c r="C1030" s="19" t="s">
        <v>32</v>
      </c>
      <c r="D1030" s="19" t="s">
        <v>131</v>
      </c>
      <c r="E1030" s="19" t="s">
        <v>127</v>
      </c>
      <c r="F1030" s="24"/>
      <c r="G1030" s="30">
        <f>G1031</f>
        <v>130.5</v>
      </c>
      <c r="H1030" s="23"/>
      <c r="K1030" s="30">
        <f>K1031</f>
        <v>130.5</v>
      </c>
      <c r="L1030" s="23"/>
      <c r="M1030" s="86"/>
    </row>
    <row r="1031" spans="1:13" s="11" customFormat="1" ht="15.75">
      <c r="A1031" s="18"/>
      <c r="B1031" s="18" t="s">
        <v>159</v>
      </c>
      <c r="C1031" s="19" t="s">
        <v>32</v>
      </c>
      <c r="D1031" s="19" t="s">
        <v>131</v>
      </c>
      <c r="E1031" s="19" t="s">
        <v>127</v>
      </c>
      <c r="F1031" s="24" t="s">
        <v>158</v>
      </c>
      <c r="G1031" s="30">
        <f>G1032</f>
        <v>130.5</v>
      </c>
      <c r="H1031" s="23"/>
      <c r="K1031" s="30">
        <f>K1032</f>
        <v>130.5</v>
      </c>
      <c r="L1031" s="23"/>
      <c r="M1031" s="86"/>
    </row>
    <row r="1032" spans="1:13" s="11" customFormat="1" ht="31.5">
      <c r="A1032" s="18"/>
      <c r="B1032" s="18" t="s">
        <v>165</v>
      </c>
      <c r="C1032" s="19" t="s">
        <v>32</v>
      </c>
      <c r="D1032" s="19" t="s">
        <v>131</v>
      </c>
      <c r="E1032" s="19" t="s">
        <v>127</v>
      </c>
      <c r="F1032" s="24" t="s">
        <v>164</v>
      </c>
      <c r="G1032" s="30">
        <f>600-425-44.5</f>
        <v>130.5</v>
      </c>
      <c r="H1032" s="23"/>
      <c r="K1032" s="30">
        <f>600-425-44.5</f>
        <v>130.5</v>
      </c>
      <c r="L1032" s="23"/>
      <c r="M1032" s="86"/>
    </row>
    <row r="1033" spans="1:13" s="11" customFormat="1" ht="78.75">
      <c r="A1033" s="18"/>
      <c r="B1033" s="18" t="s">
        <v>604</v>
      </c>
      <c r="C1033" s="19" t="s">
        <v>605</v>
      </c>
      <c r="D1033" s="19" t="s">
        <v>131</v>
      </c>
      <c r="E1033" s="19" t="s">
        <v>127</v>
      </c>
      <c r="F1033" s="24"/>
      <c r="G1033" s="30">
        <f>G1034</f>
        <v>302.7</v>
      </c>
      <c r="H1033" s="23"/>
      <c r="K1033" s="30">
        <f>K1034</f>
        <v>236.2</v>
      </c>
      <c r="L1033" s="23"/>
      <c r="M1033" s="86"/>
    </row>
    <row r="1034" spans="1:13" s="11" customFormat="1" ht="15.75">
      <c r="A1034" s="18"/>
      <c r="B1034" s="18" t="s">
        <v>159</v>
      </c>
      <c r="C1034" s="19" t="s">
        <v>605</v>
      </c>
      <c r="D1034" s="19" t="s">
        <v>131</v>
      </c>
      <c r="E1034" s="19" t="s">
        <v>127</v>
      </c>
      <c r="F1034" s="24" t="s">
        <v>158</v>
      </c>
      <c r="G1034" s="30">
        <f>G1035</f>
        <v>302.7</v>
      </c>
      <c r="H1034" s="23"/>
      <c r="K1034" s="30">
        <f>K1035</f>
        <v>236.2</v>
      </c>
      <c r="L1034" s="23"/>
      <c r="M1034" s="86"/>
    </row>
    <row r="1035" spans="1:13" s="11" customFormat="1" ht="31.5">
      <c r="A1035" s="18"/>
      <c r="B1035" s="18" t="s">
        <v>165</v>
      </c>
      <c r="C1035" s="19" t="s">
        <v>605</v>
      </c>
      <c r="D1035" s="19" t="s">
        <v>131</v>
      </c>
      <c r="E1035" s="19" t="s">
        <v>127</v>
      </c>
      <c r="F1035" s="24" t="s">
        <v>164</v>
      </c>
      <c r="G1035" s="30">
        <f>143.6+19+140.1</f>
        <v>302.7</v>
      </c>
      <c r="H1035" s="23"/>
      <c r="K1035" s="30">
        <v>236.2</v>
      </c>
      <c r="L1035" s="23"/>
      <c r="M1035" s="86"/>
    </row>
    <row r="1036" spans="1:13" s="11" customFormat="1" ht="47.25">
      <c r="A1036" s="18"/>
      <c r="B1036" s="53" t="s">
        <v>89</v>
      </c>
      <c r="C1036" s="19" t="s">
        <v>90</v>
      </c>
      <c r="D1036" s="19" t="s">
        <v>131</v>
      </c>
      <c r="E1036" s="19" t="s">
        <v>127</v>
      </c>
      <c r="F1036" s="24"/>
      <c r="G1036" s="21">
        <f>G1037+G1039+G1041</f>
        <v>8887.5</v>
      </c>
      <c r="H1036" s="18"/>
      <c r="K1036" s="21">
        <f>K1037+K1039+K1041</f>
        <v>8869.8</v>
      </c>
      <c r="L1036" s="18"/>
      <c r="M1036" s="86"/>
    </row>
    <row r="1037" spans="1:13" s="11" customFormat="1" ht="63">
      <c r="A1037" s="18"/>
      <c r="B1037" s="53" t="s">
        <v>170</v>
      </c>
      <c r="C1037" s="19" t="s">
        <v>90</v>
      </c>
      <c r="D1037" s="19" t="s">
        <v>131</v>
      </c>
      <c r="E1037" s="19" t="s">
        <v>127</v>
      </c>
      <c r="F1037" s="24" t="s">
        <v>168</v>
      </c>
      <c r="G1037" s="21">
        <f>G1038</f>
        <v>8372.5</v>
      </c>
      <c r="H1037" s="18"/>
      <c r="K1037" s="21">
        <f>K1038</f>
        <v>8372.3</v>
      </c>
      <c r="L1037" s="18"/>
      <c r="M1037" s="86"/>
    </row>
    <row r="1038" spans="1:13" s="11" customFormat="1" ht="15.75">
      <c r="A1038" s="18"/>
      <c r="B1038" s="53" t="s">
        <v>189</v>
      </c>
      <c r="C1038" s="19" t="s">
        <v>90</v>
      </c>
      <c r="D1038" s="19" t="s">
        <v>131</v>
      </c>
      <c r="E1038" s="19" t="s">
        <v>127</v>
      </c>
      <c r="F1038" s="24" t="s">
        <v>190</v>
      </c>
      <c r="G1038" s="21">
        <f>7862.5+510</f>
        <v>8372.5</v>
      </c>
      <c r="H1038" s="18"/>
      <c r="K1038" s="21">
        <v>8372.3</v>
      </c>
      <c r="L1038" s="18"/>
      <c r="M1038" s="86"/>
    </row>
    <row r="1039" spans="1:13" s="11" customFormat="1" ht="15.75">
      <c r="A1039" s="18"/>
      <c r="B1039" s="53" t="s">
        <v>159</v>
      </c>
      <c r="C1039" s="19" t="s">
        <v>90</v>
      </c>
      <c r="D1039" s="19" t="s">
        <v>131</v>
      </c>
      <c r="E1039" s="19" t="s">
        <v>127</v>
      </c>
      <c r="F1039" s="24" t="s">
        <v>158</v>
      </c>
      <c r="G1039" s="21">
        <f>G1040</f>
        <v>385</v>
      </c>
      <c r="H1039" s="18"/>
      <c r="K1039" s="21">
        <f>K1040</f>
        <v>381.8</v>
      </c>
      <c r="L1039" s="18"/>
      <c r="M1039" s="86"/>
    </row>
    <row r="1040" spans="1:13" s="11" customFormat="1" ht="31.5">
      <c r="A1040" s="18"/>
      <c r="B1040" s="53" t="s">
        <v>165</v>
      </c>
      <c r="C1040" s="19" t="s">
        <v>90</v>
      </c>
      <c r="D1040" s="19" t="s">
        <v>131</v>
      </c>
      <c r="E1040" s="19" t="s">
        <v>127</v>
      </c>
      <c r="F1040" s="24" t="s">
        <v>164</v>
      </c>
      <c r="G1040" s="21">
        <f>365+25-5</f>
        <v>385</v>
      </c>
      <c r="H1040" s="18"/>
      <c r="K1040" s="21">
        <v>381.8</v>
      </c>
      <c r="L1040" s="18"/>
      <c r="M1040" s="86"/>
    </row>
    <row r="1041" spans="1:13" s="11" customFormat="1" ht="15.75">
      <c r="A1041" s="18"/>
      <c r="B1041" s="53" t="s">
        <v>184</v>
      </c>
      <c r="C1041" s="19" t="s">
        <v>90</v>
      </c>
      <c r="D1041" s="19" t="s">
        <v>131</v>
      </c>
      <c r="E1041" s="19" t="s">
        <v>127</v>
      </c>
      <c r="F1041" s="24" t="s">
        <v>185</v>
      </c>
      <c r="G1041" s="21">
        <f>G1042</f>
        <v>130</v>
      </c>
      <c r="H1041" s="18"/>
      <c r="K1041" s="21">
        <f>K1042</f>
        <v>115.7</v>
      </c>
      <c r="L1041" s="18"/>
      <c r="M1041" s="86"/>
    </row>
    <row r="1042" spans="1:13" s="11" customFormat="1" ht="15.75">
      <c r="A1042" s="18"/>
      <c r="B1042" s="53" t="s">
        <v>186</v>
      </c>
      <c r="C1042" s="19" t="s">
        <v>90</v>
      </c>
      <c r="D1042" s="19" t="s">
        <v>131</v>
      </c>
      <c r="E1042" s="19" t="s">
        <v>127</v>
      </c>
      <c r="F1042" s="24" t="s">
        <v>187</v>
      </c>
      <c r="G1042" s="21">
        <f>50+75+5</f>
        <v>130</v>
      </c>
      <c r="H1042" s="18"/>
      <c r="K1042" s="21">
        <v>115.7</v>
      </c>
      <c r="L1042" s="18"/>
      <c r="M1042" s="86"/>
    </row>
    <row r="1043" spans="1:13" s="11" customFormat="1" ht="67.5" customHeight="1">
      <c r="A1043" s="18"/>
      <c r="B1043" s="53" t="s">
        <v>442</v>
      </c>
      <c r="C1043" s="19" t="s">
        <v>443</v>
      </c>
      <c r="D1043" s="19" t="s">
        <v>131</v>
      </c>
      <c r="E1043" s="19" t="s">
        <v>127</v>
      </c>
      <c r="F1043" s="24"/>
      <c r="G1043" s="21">
        <f>G1044</f>
        <v>16792.1</v>
      </c>
      <c r="H1043" s="18"/>
      <c r="K1043" s="21">
        <f>K1044</f>
        <v>16617.9</v>
      </c>
      <c r="L1043" s="18"/>
      <c r="M1043" s="86"/>
    </row>
    <row r="1044" spans="1:13" s="11" customFormat="1" ht="82.5" customHeight="1">
      <c r="A1044" s="18"/>
      <c r="B1044" s="53" t="s">
        <v>444</v>
      </c>
      <c r="C1044" s="19" t="s">
        <v>445</v>
      </c>
      <c r="D1044" s="19" t="s">
        <v>131</v>
      </c>
      <c r="E1044" s="19" t="s">
        <v>127</v>
      </c>
      <c r="F1044" s="24"/>
      <c r="G1044" s="21">
        <f>G1045+G1047+G1049</f>
        <v>16792.1</v>
      </c>
      <c r="H1044" s="18"/>
      <c r="K1044" s="21">
        <f>K1045+K1047+K1049</f>
        <v>16617.9</v>
      </c>
      <c r="L1044" s="18"/>
      <c r="M1044" s="86"/>
    </row>
    <row r="1045" spans="1:13" s="11" customFormat="1" ht="65.25" customHeight="1">
      <c r="A1045" s="18"/>
      <c r="B1045" s="53" t="s">
        <v>170</v>
      </c>
      <c r="C1045" s="19" t="s">
        <v>445</v>
      </c>
      <c r="D1045" s="19" t="s">
        <v>131</v>
      </c>
      <c r="E1045" s="19" t="s">
        <v>127</v>
      </c>
      <c r="F1045" s="24" t="s">
        <v>168</v>
      </c>
      <c r="G1045" s="21">
        <f>G1046</f>
        <v>4383.8</v>
      </c>
      <c r="H1045" s="18"/>
      <c r="K1045" s="21">
        <f>K1046</f>
        <v>4383.8</v>
      </c>
      <c r="L1045" s="18"/>
      <c r="M1045" s="86"/>
    </row>
    <row r="1046" spans="1:13" s="11" customFormat="1" ht="21" customHeight="1">
      <c r="A1046" s="18"/>
      <c r="B1046" s="53" t="s">
        <v>189</v>
      </c>
      <c r="C1046" s="19" t="s">
        <v>445</v>
      </c>
      <c r="D1046" s="19" t="s">
        <v>131</v>
      </c>
      <c r="E1046" s="19" t="s">
        <v>127</v>
      </c>
      <c r="F1046" s="24" t="s">
        <v>190</v>
      </c>
      <c r="G1046" s="21">
        <f>4213.8+170</f>
        <v>4383.8</v>
      </c>
      <c r="H1046" s="18"/>
      <c r="K1046" s="21">
        <f>4213.8+170</f>
        <v>4383.8</v>
      </c>
      <c r="L1046" s="18"/>
      <c r="M1046" s="86"/>
    </row>
    <row r="1047" spans="1:13" s="11" customFormat="1" ht="18" customHeight="1">
      <c r="A1047" s="18"/>
      <c r="B1047" s="53" t="s">
        <v>159</v>
      </c>
      <c r="C1047" s="19" t="s">
        <v>445</v>
      </c>
      <c r="D1047" s="19" t="s">
        <v>131</v>
      </c>
      <c r="E1047" s="19" t="s">
        <v>127</v>
      </c>
      <c r="F1047" s="24" t="s">
        <v>158</v>
      </c>
      <c r="G1047" s="21">
        <f>G1048</f>
        <v>12403.3</v>
      </c>
      <c r="H1047" s="18"/>
      <c r="K1047" s="21">
        <f>K1048</f>
        <v>12229.1</v>
      </c>
      <c r="L1047" s="18"/>
      <c r="M1047" s="86"/>
    </row>
    <row r="1048" spans="1:13" s="11" customFormat="1" ht="31.5">
      <c r="A1048" s="18"/>
      <c r="B1048" s="53" t="s">
        <v>165</v>
      </c>
      <c r="C1048" s="19" t="s">
        <v>445</v>
      </c>
      <c r="D1048" s="19" t="s">
        <v>131</v>
      </c>
      <c r="E1048" s="19" t="s">
        <v>127</v>
      </c>
      <c r="F1048" s="24" t="s">
        <v>164</v>
      </c>
      <c r="G1048" s="21">
        <f>10768.3+1800-170+5</f>
        <v>12403.3</v>
      </c>
      <c r="H1048" s="18"/>
      <c r="K1048" s="21">
        <v>12229.1</v>
      </c>
      <c r="L1048" s="18"/>
      <c r="M1048" s="86"/>
    </row>
    <row r="1049" spans="1:13" s="11" customFormat="1" ht="22.5" customHeight="1">
      <c r="A1049" s="18"/>
      <c r="B1049" s="53" t="s">
        <v>184</v>
      </c>
      <c r="C1049" s="19" t="s">
        <v>445</v>
      </c>
      <c r="D1049" s="19" t="s">
        <v>131</v>
      </c>
      <c r="E1049" s="19" t="s">
        <v>127</v>
      </c>
      <c r="F1049" s="24" t="s">
        <v>185</v>
      </c>
      <c r="G1049" s="21">
        <f>G1050</f>
        <v>5</v>
      </c>
      <c r="H1049" s="18"/>
      <c r="K1049" s="21">
        <f>K1050</f>
        <v>5</v>
      </c>
      <c r="L1049" s="18"/>
      <c r="M1049" s="86"/>
    </row>
    <row r="1050" spans="1:13" s="11" customFormat="1" ht="21.75" customHeight="1">
      <c r="A1050" s="18"/>
      <c r="B1050" s="53" t="s">
        <v>186</v>
      </c>
      <c r="C1050" s="19" t="s">
        <v>445</v>
      </c>
      <c r="D1050" s="19" t="s">
        <v>131</v>
      </c>
      <c r="E1050" s="19" t="s">
        <v>127</v>
      </c>
      <c r="F1050" s="24" t="s">
        <v>187</v>
      </c>
      <c r="G1050" s="21">
        <f>10-5</f>
        <v>5</v>
      </c>
      <c r="H1050" s="18"/>
      <c r="K1050" s="21">
        <f>10-5</f>
        <v>5</v>
      </c>
      <c r="L1050" s="18"/>
      <c r="M1050" s="86"/>
    </row>
    <row r="1051" spans="1:13" s="11" customFormat="1" ht="15.75">
      <c r="A1051" s="15">
        <v>21</v>
      </c>
      <c r="B1051" s="32" t="s">
        <v>326</v>
      </c>
      <c r="C1051" s="38" t="s">
        <v>84</v>
      </c>
      <c r="D1051" s="41"/>
      <c r="E1051" s="41"/>
      <c r="F1051" s="52"/>
      <c r="G1051" s="44">
        <f>G1055+G1058+G1061+G1064+G1067+G1052</f>
        <v>13549</v>
      </c>
      <c r="H1051" s="44">
        <f>H1055+H1058+H1061+H1064+H1067</f>
        <v>9499</v>
      </c>
      <c r="K1051" s="44">
        <f>K1055+K1058+K1061+K1064+K1067+K1052</f>
        <v>12770.199999999999</v>
      </c>
      <c r="L1051" s="44">
        <f>L1055+L1058+L1061+L1064+L1067</f>
        <v>8953.8</v>
      </c>
      <c r="M1051" s="31">
        <f>K1051/G1051*100</f>
        <v>94.25197431544763</v>
      </c>
    </row>
    <row r="1052" spans="1:13" s="11" customFormat="1" ht="31.5">
      <c r="A1052" s="15"/>
      <c r="B1052" s="53" t="s">
        <v>590</v>
      </c>
      <c r="C1052" s="19" t="s">
        <v>591</v>
      </c>
      <c r="D1052" s="19" t="s">
        <v>131</v>
      </c>
      <c r="E1052" s="19" t="s">
        <v>126</v>
      </c>
      <c r="F1052" s="25"/>
      <c r="G1052" s="75">
        <f>G1053</f>
        <v>1300</v>
      </c>
      <c r="H1052" s="18"/>
      <c r="K1052" s="75">
        <f>K1053</f>
        <v>1300</v>
      </c>
      <c r="L1052" s="18"/>
      <c r="M1052" s="86"/>
    </row>
    <row r="1053" spans="1:13" s="11" customFormat="1" ht="15.75">
      <c r="A1053" s="15"/>
      <c r="B1053" s="53" t="s">
        <v>159</v>
      </c>
      <c r="C1053" s="19" t="s">
        <v>591</v>
      </c>
      <c r="D1053" s="19" t="s">
        <v>131</v>
      </c>
      <c r="E1053" s="19" t="s">
        <v>126</v>
      </c>
      <c r="F1053" s="25" t="s">
        <v>158</v>
      </c>
      <c r="G1053" s="75">
        <f>G1054</f>
        <v>1300</v>
      </c>
      <c r="H1053" s="18"/>
      <c r="K1053" s="75">
        <f>K1054</f>
        <v>1300</v>
      </c>
      <c r="L1053" s="18"/>
      <c r="M1053" s="86"/>
    </row>
    <row r="1054" spans="1:13" s="11" customFormat="1" ht="31.5">
      <c r="A1054" s="15"/>
      <c r="B1054" s="53" t="s">
        <v>165</v>
      </c>
      <c r="C1054" s="19" t="s">
        <v>591</v>
      </c>
      <c r="D1054" s="19" t="s">
        <v>131</v>
      </c>
      <c r="E1054" s="19" t="s">
        <v>126</v>
      </c>
      <c r="F1054" s="25" t="s">
        <v>164</v>
      </c>
      <c r="G1054" s="75">
        <v>1300</v>
      </c>
      <c r="H1054" s="18"/>
      <c r="K1054" s="75">
        <v>1300</v>
      </c>
      <c r="L1054" s="18"/>
      <c r="M1054" s="86"/>
    </row>
    <row r="1055" spans="1:13" s="11" customFormat="1" ht="31.5">
      <c r="A1055" s="15"/>
      <c r="B1055" s="53" t="s">
        <v>342</v>
      </c>
      <c r="C1055" s="19" t="s">
        <v>298</v>
      </c>
      <c r="D1055" s="19" t="s">
        <v>133</v>
      </c>
      <c r="E1055" s="19" t="s">
        <v>150</v>
      </c>
      <c r="F1055" s="25"/>
      <c r="G1055" s="21">
        <f>G1056</f>
        <v>1225.1</v>
      </c>
      <c r="H1055" s="18"/>
      <c r="K1055" s="21">
        <f>K1056</f>
        <v>1225.1</v>
      </c>
      <c r="L1055" s="18"/>
      <c r="M1055" s="86"/>
    </row>
    <row r="1056" spans="1:13" s="11" customFormat="1" ht="31.5">
      <c r="A1056" s="18"/>
      <c r="B1056" s="53" t="s">
        <v>157</v>
      </c>
      <c r="C1056" s="19" t="s">
        <v>298</v>
      </c>
      <c r="D1056" s="19" t="s">
        <v>133</v>
      </c>
      <c r="E1056" s="19" t="s">
        <v>150</v>
      </c>
      <c r="F1056" s="25" t="s">
        <v>156</v>
      </c>
      <c r="G1056" s="21">
        <f>G1057</f>
        <v>1225.1</v>
      </c>
      <c r="H1056" s="18"/>
      <c r="K1056" s="21">
        <f>K1057</f>
        <v>1225.1</v>
      </c>
      <c r="L1056" s="18"/>
      <c r="M1056" s="86"/>
    </row>
    <row r="1057" spans="1:13" s="11" customFormat="1" ht="15.75">
      <c r="A1057" s="18"/>
      <c r="B1057" s="53" t="s">
        <v>167</v>
      </c>
      <c r="C1057" s="19" t="s">
        <v>298</v>
      </c>
      <c r="D1057" s="19" t="s">
        <v>133</v>
      </c>
      <c r="E1057" s="19" t="s">
        <v>150</v>
      </c>
      <c r="F1057" s="25" t="s">
        <v>166</v>
      </c>
      <c r="G1057" s="21">
        <f>1000+225.1</f>
        <v>1225.1</v>
      </c>
      <c r="H1057" s="18"/>
      <c r="K1057" s="21">
        <f>1000+225.1</f>
        <v>1225.1</v>
      </c>
      <c r="L1057" s="18"/>
      <c r="M1057" s="86"/>
    </row>
    <row r="1058" spans="1:13" s="11" customFormat="1" ht="126">
      <c r="A1058" s="18"/>
      <c r="B1058" s="53" t="s">
        <v>357</v>
      </c>
      <c r="C1058" s="19" t="s">
        <v>395</v>
      </c>
      <c r="D1058" s="19" t="s">
        <v>133</v>
      </c>
      <c r="E1058" s="19" t="s">
        <v>126</v>
      </c>
      <c r="F1058" s="25"/>
      <c r="G1058" s="21">
        <f>G1059</f>
        <v>774.9</v>
      </c>
      <c r="H1058" s="18"/>
      <c r="K1058" s="21">
        <f>K1059</f>
        <v>774.9</v>
      </c>
      <c r="L1058" s="18"/>
      <c r="M1058" s="86"/>
    </row>
    <row r="1059" spans="1:13" s="11" customFormat="1" ht="31.5">
      <c r="A1059" s="18"/>
      <c r="B1059" s="53" t="s">
        <v>157</v>
      </c>
      <c r="C1059" s="19" t="s">
        <v>395</v>
      </c>
      <c r="D1059" s="19" t="s">
        <v>133</v>
      </c>
      <c r="E1059" s="19" t="s">
        <v>126</v>
      </c>
      <c r="F1059" s="25" t="s">
        <v>156</v>
      </c>
      <c r="G1059" s="21">
        <f>G1060</f>
        <v>774.9</v>
      </c>
      <c r="H1059" s="18"/>
      <c r="K1059" s="21">
        <f>K1060</f>
        <v>774.9</v>
      </c>
      <c r="L1059" s="18"/>
      <c r="M1059" s="86"/>
    </row>
    <row r="1060" spans="1:13" s="11" customFormat="1" ht="15.75">
      <c r="A1060" s="18"/>
      <c r="B1060" s="53" t="s">
        <v>167</v>
      </c>
      <c r="C1060" s="19" t="s">
        <v>395</v>
      </c>
      <c r="D1060" s="19" t="s">
        <v>133</v>
      </c>
      <c r="E1060" s="19" t="s">
        <v>126</v>
      </c>
      <c r="F1060" s="25" t="s">
        <v>166</v>
      </c>
      <c r="G1060" s="21">
        <f>1000-225.1</f>
        <v>774.9</v>
      </c>
      <c r="H1060" s="18"/>
      <c r="K1060" s="21">
        <f>1000-225.1</f>
        <v>774.9</v>
      </c>
      <c r="L1060" s="18"/>
      <c r="M1060" s="86"/>
    </row>
    <row r="1061" spans="1:13" s="11" customFormat="1" ht="110.25">
      <c r="A1061" s="18"/>
      <c r="B1061" s="53" t="s">
        <v>396</v>
      </c>
      <c r="C1061" s="19" t="s">
        <v>395</v>
      </c>
      <c r="D1061" s="19" t="s">
        <v>133</v>
      </c>
      <c r="E1061" s="19" t="s">
        <v>126</v>
      </c>
      <c r="F1061" s="25"/>
      <c r="G1061" s="21">
        <f>G1062</f>
        <v>7749</v>
      </c>
      <c r="H1061" s="21">
        <f>H1062</f>
        <v>7749</v>
      </c>
      <c r="K1061" s="21">
        <f>K1062</f>
        <v>7749</v>
      </c>
      <c r="L1061" s="21">
        <f>L1062</f>
        <v>7749</v>
      </c>
      <c r="M1061" s="86"/>
    </row>
    <row r="1062" spans="1:13" s="11" customFormat="1" ht="31.5">
      <c r="A1062" s="18"/>
      <c r="B1062" s="53" t="s">
        <v>157</v>
      </c>
      <c r="C1062" s="19" t="s">
        <v>395</v>
      </c>
      <c r="D1062" s="19" t="s">
        <v>133</v>
      </c>
      <c r="E1062" s="19" t="s">
        <v>126</v>
      </c>
      <c r="F1062" s="25" t="s">
        <v>156</v>
      </c>
      <c r="G1062" s="21">
        <f>G1063</f>
        <v>7749</v>
      </c>
      <c r="H1062" s="21">
        <f>H1063</f>
        <v>7749</v>
      </c>
      <c r="K1062" s="21">
        <f>K1063</f>
        <v>7749</v>
      </c>
      <c r="L1062" s="21">
        <f>L1063</f>
        <v>7749</v>
      </c>
      <c r="M1062" s="86"/>
    </row>
    <row r="1063" spans="1:13" s="11" customFormat="1" ht="15.75">
      <c r="A1063" s="18"/>
      <c r="B1063" s="53" t="s">
        <v>167</v>
      </c>
      <c r="C1063" s="19" t="s">
        <v>395</v>
      </c>
      <c r="D1063" s="19" t="s">
        <v>133</v>
      </c>
      <c r="E1063" s="19" t="s">
        <v>126</v>
      </c>
      <c r="F1063" s="25" t="s">
        <v>166</v>
      </c>
      <c r="G1063" s="21">
        <f>5166+2583</f>
        <v>7749</v>
      </c>
      <c r="H1063" s="21">
        <f>G1063</f>
        <v>7749</v>
      </c>
      <c r="K1063" s="21">
        <f>5166+2583</f>
        <v>7749</v>
      </c>
      <c r="L1063" s="21">
        <f>K1063</f>
        <v>7749</v>
      </c>
      <c r="M1063" s="86"/>
    </row>
    <row r="1064" spans="1:13" s="11" customFormat="1" ht="110.25">
      <c r="A1064" s="18"/>
      <c r="B1064" s="53" t="s">
        <v>421</v>
      </c>
      <c r="C1064" s="19" t="s">
        <v>423</v>
      </c>
      <c r="D1064" s="19" t="s">
        <v>135</v>
      </c>
      <c r="E1064" s="19" t="s">
        <v>126</v>
      </c>
      <c r="F1064" s="25"/>
      <c r="G1064" s="21">
        <f>G1065</f>
        <v>1750</v>
      </c>
      <c r="H1064" s="21">
        <f>H1065</f>
        <v>1750</v>
      </c>
      <c r="K1064" s="21">
        <f>K1065</f>
        <v>1204.8</v>
      </c>
      <c r="L1064" s="21">
        <f>L1065</f>
        <v>1204.8</v>
      </c>
      <c r="M1064" s="86"/>
    </row>
    <row r="1065" spans="1:13" s="11" customFormat="1" ht="42.75" customHeight="1">
      <c r="A1065" s="18"/>
      <c r="B1065" s="53" t="s">
        <v>157</v>
      </c>
      <c r="C1065" s="19" t="s">
        <v>423</v>
      </c>
      <c r="D1065" s="19" t="s">
        <v>135</v>
      </c>
      <c r="E1065" s="19" t="s">
        <v>126</v>
      </c>
      <c r="F1065" s="25" t="s">
        <v>156</v>
      </c>
      <c r="G1065" s="21">
        <f>G1066</f>
        <v>1750</v>
      </c>
      <c r="H1065" s="21">
        <f>H1066</f>
        <v>1750</v>
      </c>
      <c r="K1065" s="21">
        <f>K1066</f>
        <v>1204.8</v>
      </c>
      <c r="L1065" s="21">
        <f>L1066</f>
        <v>1204.8</v>
      </c>
      <c r="M1065" s="86"/>
    </row>
    <row r="1066" spans="1:13" s="11" customFormat="1" ht="24.75" customHeight="1">
      <c r="A1066" s="18"/>
      <c r="B1066" s="53" t="s">
        <v>167</v>
      </c>
      <c r="C1066" s="19" t="s">
        <v>423</v>
      </c>
      <c r="D1066" s="19" t="s">
        <v>135</v>
      </c>
      <c r="E1066" s="19" t="s">
        <v>126</v>
      </c>
      <c r="F1066" s="25" t="s">
        <v>166</v>
      </c>
      <c r="G1066" s="21">
        <f>1750</f>
        <v>1750</v>
      </c>
      <c r="H1066" s="21">
        <f>1750</f>
        <v>1750</v>
      </c>
      <c r="K1066" s="21">
        <v>1204.8</v>
      </c>
      <c r="L1066" s="21">
        <v>1204.8</v>
      </c>
      <c r="M1066" s="86"/>
    </row>
    <row r="1067" spans="1:13" s="11" customFormat="1" ht="110.25">
      <c r="A1067" s="18"/>
      <c r="B1067" s="53" t="s">
        <v>422</v>
      </c>
      <c r="C1067" s="19" t="s">
        <v>423</v>
      </c>
      <c r="D1067" s="19" t="s">
        <v>135</v>
      </c>
      <c r="E1067" s="19" t="s">
        <v>126</v>
      </c>
      <c r="F1067" s="25"/>
      <c r="G1067" s="21">
        <f>G1068</f>
        <v>750</v>
      </c>
      <c r="H1067" s="21"/>
      <c r="K1067" s="21">
        <f>K1068</f>
        <v>516.4</v>
      </c>
      <c r="L1067" s="21"/>
      <c r="M1067" s="86"/>
    </row>
    <row r="1068" spans="1:13" s="11" customFormat="1" ht="40.5" customHeight="1">
      <c r="A1068" s="18"/>
      <c r="B1068" s="53" t="s">
        <v>157</v>
      </c>
      <c r="C1068" s="19" t="s">
        <v>423</v>
      </c>
      <c r="D1068" s="19" t="s">
        <v>135</v>
      </c>
      <c r="E1068" s="19" t="s">
        <v>126</v>
      </c>
      <c r="F1068" s="25" t="s">
        <v>156</v>
      </c>
      <c r="G1068" s="21">
        <f>G1069</f>
        <v>750</v>
      </c>
      <c r="H1068" s="21"/>
      <c r="K1068" s="21">
        <f>K1069</f>
        <v>516.4</v>
      </c>
      <c r="L1068" s="21"/>
      <c r="M1068" s="86"/>
    </row>
    <row r="1069" spans="1:13" s="11" customFormat="1" ht="23.25" customHeight="1">
      <c r="A1069" s="18"/>
      <c r="B1069" s="53" t="s">
        <v>167</v>
      </c>
      <c r="C1069" s="19" t="s">
        <v>423</v>
      </c>
      <c r="D1069" s="19" t="s">
        <v>135</v>
      </c>
      <c r="E1069" s="19" t="s">
        <v>126</v>
      </c>
      <c r="F1069" s="25" t="s">
        <v>166</v>
      </c>
      <c r="G1069" s="21">
        <f>398+352</f>
        <v>750</v>
      </c>
      <c r="H1069" s="21"/>
      <c r="K1069" s="21">
        <v>516.4</v>
      </c>
      <c r="L1069" s="21"/>
      <c r="M1069" s="86"/>
    </row>
    <row r="1070" spans="1:13" ht="47.25">
      <c r="A1070" s="15">
        <v>22</v>
      </c>
      <c r="B1070" s="32" t="s">
        <v>337</v>
      </c>
      <c r="C1070" s="41" t="s">
        <v>299</v>
      </c>
      <c r="D1070" s="20"/>
      <c r="E1070" s="20"/>
      <c r="F1070" s="19"/>
      <c r="G1070" s="40">
        <f>G1071</f>
        <v>15331</v>
      </c>
      <c r="H1070" s="40">
        <f>H1071</f>
        <v>500</v>
      </c>
      <c r="K1070" s="40">
        <f>K1071</f>
        <v>15299.8</v>
      </c>
      <c r="L1070" s="40">
        <f>L1071</f>
        <v>468.8</v>
      </c>
      <c r="M1070" s="31">
        <f>K1070/G1070*100</f>
        <v>99.79649077033461</v>
      </c>
    </row>
    <row r="1071" spans="1:13" ht="15.75">
      <c r="A1071" s="18"/>
      <c r="B1071" s="18" t="s">
        <v>132</v>
      </c>
      <c r="C1071" s="19" t="s">
        <v>299</v>
      </c>
      <c r="D1071" s="19" t="s">
        <v>133</v>
      </c>
      <c r="E1071" s="19" t="s">
        <v>139</v>
      </c>
      <c r="F1071" s="19"/>
      <c r="G1071" s="21">
        <f>G1076+G1072</f>
        <v>15331</v>
      </c>
      <c r="H1071" s="21">
        <f>H1076+H1072</f>
        <v>500</v>
      </c>
      <c r="K1071" s="21">
        <f>K1076+K1072</f>
        <v>15299.8</v>
      </c>
      <c r="L1071" s="21">
        <f>L1076+L1072</f>
        <v>468.8</v>
      </c>
      <c r="M1071" s="83"/>
    </row>
    <row r="1072" spans="1:13" ht="15.75">
      <c r="A1072" s="18"/>
      <c r="B1072" s="18" t="s">
        <v>151</v>
      </c>
      <c r="C1072" s="19" t="s">
        <v>299</v>
      </c>
      <c r="D1072" s="19" t="s">
        <v>133</v>
      </c>
      <c r="E1072" s="19" t="s">
        <v>150</v>
      </c>
      <c r="F1072" s="19"/>
      <c r="G1072" s="21">
        <f>G1073</f>
        <v>1000</v>
      </c>
      <c r="H1072" s="21">
        <f>H1073</f>
        <v>0</v>
      </c>
      <c r="K1072" s="21">
        <f>K1073</f>
        <v>1000</v>
      </c>
      <c r="L1072" s="21">
        <f>L1073</f>
        <v>0</v>
      </c>
      <c r="M1072" s="83"/>
    </row>
    <row r="1073" spans="1:13" ht="31.5">
      <c r="A1073" s="18"/>
      <c r="B1073" s="18" t="s">
        <v>330</v>
      </c>
      <c r="C1073" s="19" t="s">
        <v>319</v>
      </c>
      <c r="D1073" s="19" t="s">
        <v>133</v>
      </c>
      <c r="E1073" s="19" t="s">
        <v>150</v>
      </c>
      <c r="F1073" s="19"/>
      <c r="G1073" s="21">
        <f>G1074</f>
        <v>1000</v>
      </c>
      <c r="H1073" s="21">
        <f>H1074</f>
        <v>0</v>
      </c>
      <c r="K1073" s="21">
        <f>K1074</f>
        <v>1000</v>
      </c>
      <c r="L1073" s="21">
        <f>L1074</f>
        <v>0</v>
      </c>
      <c r="M1073" s="83"/>
    </row>
    <row r="1074" spans="1:13" ht="31.5">
      <c r="A1074" s="18"/>
      <c r="B1074" s="18" t="s">
        <v>157</v>
      </c>
      <c r="C1074" s="19" t="s">
        <v>319</v>
      </c>
      <c r="D1074" s="19" t="s">
        <v>133</v>
      </c>
      <c r="E1074" s="19" t="s">
        <v>150</v>
      </c>
      <c r="F1074" s="19" t="s">
        <v>156</v>
      </c>
      <c r="G1074" s="21">
        <f>G1075</f>
        <v>1000</v>
      </c>
      <c r="H1074" s="21"/>
      <c r="K1074" s="21">
        <f>K1075</f>
        <v>1000</v>
      </c>
      <c r="L1074" s="21"/>
      <c r="M1074" s="83"/>
    </row>
    <row r="1075" spans="1:13" ht="15.75">
      <c r="A1075" s="18"/>
      <c r="B1075" s="18" t="s">
        <v>167</v>
      </c>
      <c r="C1075" s="19" t="s">
        <v>319</v>
      </c>
      <c r="D1075" s="19" t="s">
        <v>133</v>
      </c>
      <c r="E1075" s="19" t="s">
        <v>150</v>
      </c>
      <c r="F1075" s="19" t="s">
        <v>166</v>
      </c>
      <c r="G1075" s="21">
        <v>1000</v>
      </c>
      <c r="H1075" s="21"/>
      <c r="K1075" s="21">
        <v>1000</v>
      </c>
      <c r="L1075" s="21"/>
      <c r="M1075" s="83"/>
    </row>
    <row r="1076" spans="1:13" ht="15.75">
      <c r="A1076" s="18"/>
      <c r="B1076" s="18" t="s">
        <v>329</v>
      </c>
      <c r="C1076" s="19" t="s">
        <v>299</v>
      </c>
      <c r="D1076" s="19" t="s">
        <v>133</v>
      </c>
      <c r="E1076" s="19" t="s">
        <v>133</v>
      </c>
      <c r="F1076" s="19"/>
      <c r="G1076" s="21">
        <f>G1077</f>
        <v>14331</v>
      </c>
      <c r="H1076" s="21">
        <f>H1077</f>
        <v>500</v>
      </c>
      <c r="K1076" s="21">
        <f>K1077</f>
        <v>14299.8</v>
      </c>
      <c r="L1076" s="21">
        <f>L1077</f>
        <v>468.8</v>
      </c>
      <c r="M1076" s="83"/>
    </row>
    <row r="1077" spans="1:13" ht="47.25">
      <c r="A1077" s="18"/>
      <c r="B1077" s="37" t="s">
        <v>172</v>
      </c>
      <c r="C1077" s="43" t="s">
        <v>300</v>
      </c>
      <c r="D1077" s="43" t="s">
        <v>133</v>
      </c>
      <c r="E1077" s="43" t="s">
        <v>133</v>
      </c>
      <c r="F1077" s="43"/>
      <c r="G1077" s="47">
        <f>G1081+G1083+G1078</f>
        <v>14331</v>
      </c>
      <c r="H1077" s="47">
        <f>H1081+H1083+H1078</f>
        <v>500</v>
      </c>
      <c r="K1077" s="47">
        <f>K1081+K1083+K1078</f>
        <v>14299.8</v>
      </c>
      <c r="L1077" s="47">
        <f>L1081+L1083+L1078</f>
        <v>468.8</v>
      </c>
      <c r="M1077" s="83"/>
    </row>
    <row r="1078" spans="1:13" ht="46.5" customHeight="1">
      <c r="A1078" s="18"/>
      <c r="B1078" s="76" t="s">
        <v>529</v>
      </c>
      <c r="C1078" s="19" t="s">
        <v>603</v>
      </c>
      <c r="D1078" s="19" t="s">
        <v>133</v>
      </c>
      <c r="E1078" s="19" t="s">
        <v>133</v>
      </c>
      <c r="F1078" s="43"/>
      <c r="G1078" s="21">
        <f>G1079</f>
        <v>500</v>
      </c>
      <c r="H1078" s="21">
        <f>G1078</f>
        <v>500</v>
      </c>
      <c r="K1078" s="21">
        <f>K1079</f>
        <v>468.8</v>
      </c>
      <c r="L1078" s="21">
        <f>K1078</f>
        <v>468.8</v>
      </c>
      <c r="M1078" s="83"/>
    </row>
    <row r="1079" spans="1:13" ht="33" customHeight="1">
      <c r="A1079" s="18"/>
      <c r="B1079" s="78" t="s">
        <v>157</v>
      </c>
      <c r="C1079" s="19" t="s">
        <v>603</v>
      </c>
      <c r="D1079" s="19" t="s">
        <v>133</v>
      </c>
      <c r="E1079" s="19" t="s">
        <v>133</v>
      </c>
      <c r="F1079" s="19" t="s">
        <v>156</v>
      </c>
      <c r="G1079" s="21">
        <f>G1080</f>
        <v>500</v>
      </c>
      <c r="H1079" s="21">
        <f>G1079</f>
        <v>500</v>
      </c>
      <c r="K1079" s="21">
        <f>K1080</f>
        <v>468.8</v>
      </c>
      <c r="L1079" s="21">
        <f>K1079</f>
        <v>468.8</v>
      </c>
      <c r="M1079" s="83"/>
    </row>
    <row r="1080" spans="1:13" ht="23.25" customHeight="1">
      <c r="A1080" s="18"/>
      <c r="B1080" s="78" t="s">
        <v>167</v>
      </c>
      <c r="C1080" s="19" t="s">
        <v>603</v>
      </c>
      <c r="D1080" s="19" t="s">
        <v>133</v>
      </c>
      <c r="E1080" s="19" t="s">
        <v>133</v>
      </c>
      <c r="F1080" s="19" t="s">
        <v>166</v>
      </c>
      <c r="G1080" s="21">
        <v>500</v>
      </c>
      <c r="H1080" s="21">
        <f>G1080</f>
        <v>500</v>
      </c>
      <c r="K1080" s="21">
        <v>468.8</v>
      </c>
      <c r="L1080" s="21">
        <f>K1080</f>
        <v>468.8</v>
      </c>
      <c r="M1080" s="83"/>
    </row>
    <row r="1081" spans="1:13" ht="31.5">
      <c r="A1081" s="18"/>
      <c r="B1081" s="19" t="s">
        <v>157</v>
      </c>
      <c r="C1081" s="19" t="s">
        <v>301</v>
      </c>
      <c r="D1081" s="19" t="s">
        <v>133</v>
      </c>
      <c r="E1081" s="19" t="s">
        <v>133</v>
      </c>
      <c r="F1081" s="19" t="s">
        <v>156</v>
      </c>
      <c r="G1081" s="21">
        <f>G1082</f>
        <v>10183.1</v>
      </c>
      <c r="H1081" s="18"/>
      <c r="K1081" s="21">
        <f>K1082</f>
        <v>10183.1</v>
      </c>
      <c r="L1081" s="18"/>
      <c r="M1081" s="83"/>
    </row>
    <row r="1082" spans="1:13" ht="15.75">
      <c r="A1082" s="18"/>
      <c r="B1082" s="14" t="s">
        <v>167</v>
      </c>
      <c r="C1082" s="19" t="s">
        <v>301</v>
      </c>
      <c r="D1082" s="19" t="s">
        <v>133</v>
      </c>
      <c r="E1082" s="19" t="s">
        <v>133</v>
      </c>
      <c r="F1082" s="19" t="s">
        <v>166</v>
      </c>
      <c r="G1082" s="21">
        <f>9483.1+700</f>
        <v>10183.1</v>
      </c>
      <c r="H1082" s="18"/>
      <c r="K1082" s="21">
        <f>9483.1+700</f>
        <v>10183.1</v>
      </c>
      <c r="L1082" s="18"/>
      <c r="M1082" s="83"/>
    </row>
    <row r="1083" spans="1:13" ht="31.5">
      <c r="A1083" s="18"/>
      <c r="B1083" s="18" t="s">
        <v>233</v>
      </c>
      <c r="C1083" s="19" t="s">
        <v>64</v>
      </c>
      <c r="D1083" s="19" t="s">
        <v>133</v>
      </c>
      <c r="E1083" s="19" t="s">
        <v>133</v>
      </c>
      <c r="F1083" s="19"/>
      <c r="G1083" s="21">
        <f>G1084</f>
        <v>3647.9</v>
      </c>
      <c r="H1083" s="18"/>
      <c r="K1083" s="21">
        <f>K1084</f>
        <v>3647.9</v>
      </c>
      <c r="L1083" s="18"/>
      <c r="M1083" s="83"/>
    </row>
    <row r="1084" spans="1:13" ht="31.5">
      <c r="A1084" s="18"/>
      <c r="B1084" s="19" t="s">
        <v>157</v>
      </c>
      <c r="C1084" s="19" t="s">
        <v>64</v>
      </c>
      <c r="D1084" s="19" t="s">
        <v>133</v>
      </c>
      <c r="E1084" s="19" t="s">
        <v>133</v>
      </c>
      <c r="F1084" s="19" t="s">
        <v>156</v>
      </c>
      <c r="G1084" s="21">
        <f>G1085</f>
        <v>3647.9</v>
      </c>
      <c r="H1084" s="18"/>
      <c r="K1084" s="21">
        <f>K1085</f>
        <v>3647.9</v>
      </c>
      <c r="L1084" s="18"/>
      <c r="M1084" s="83"/>
    </row>
    <row r="1085" spans="1:13" ht="15.75">
      <c r="A1085" s="18"/>
      <c r="B1085" s="14" t="s">
        <v>167</v>
      </c>
      <c r="C1085" s="19" t="s">
        <v>64</v>
      </c>
      <c r="D1085" s="19" t="s">
        <v>133</v>
      </c>
      <c r="E1085" s="19" t="s">
        <v>133</v>
      </c>
      <c r="F1085" s="19" t="s">
        <v>166</v>
      </c>
      <c r="G1085" s="21">
        <f>1247.9+1000+500+500+400</f>
        <v>3647.9</v>
      </c>
      <c r="H1085" s="18"/>
      <c r="K1085" s="21">
        <f>1247.9+1000+500+500+400</f>
        <v>3647.9</v>
      </c>
      <c r="L1085" s="18"/>
      <c r="M1085" s="83"/>
    </row>
    <row r="1086" spans="1:13" ht="51.75" customHeight="1">
      <c r="A1086" s="15">
        <v>23</v>
      </c>
      <c r="B1086" s="32" t="s">
        <v>327</v>
      </c>
      <c r="C1086" s="41" t="s">
        <v>92</v>
      </c>
      <c r="D1086" s="20"/>
      <c r="E1086" s="20"/>
      <c r="F1086" s="19"/>
      <c r="G1086" s="40">
        <f>G1087</f>
        <v>7100.8</v>
      </c>
      <c r="H1086" s="40">
        <v>0</v>
      </c>
      <c r="K1086" s="40">
        <f>K1087</f>
        <v>6462.5</v>
      </c>
      <c r="L1086" s="40">
        <v>0</v>
      </c>
      <c r="M1086" s="31">
        <f>K1086/G1086*100</f>
        <v>91.01087201442091</v>
      </c>
    </row>
    <row r="1087" spans="1:13" ht="47.25">
      <c r="A1087" s="15"/>
      <c r="B1087" s="18" t="s">
        <v>401</v>
      </c>
      <c r="C1087" s="19" t="s">
        <v>92</v>
      </c>
      <c r="D1087" s="19" t="s">
        <v>129</v>
      </c>
      <c r="E1087" s="19" t="s">
        <v>137</v>
      </c>
      <c r="F1087" s="19"/>
      <c r="G1087" s="21">
        <f>G1089</f>
        <v>7100.8</v>
      </c>
      <c r="H1087" s="21"/>
      <c r="K1087" s="21">
        <f>K1089</f>
        <v>6462.5</v>
      </c>
      <c r="L1087" s="21"/>
      <c r="M1087" s="83"/>
    </row>
    <row r="1088" spans="1:13" ht="31.5">
      <c r="A1088" s="15"/>
      <c r="B1088" s="18" t="s">
        <v>426</v>
      </c>
      <c r="C1088" s="19" t="s">
        <v>92</v>
      </c>
      <c r="D1088" s="19" t="s">
        <v>129</v>
      </c>
      <c r="E1088" s="19" t="s">
        <v>137</v>
      </c>
      <c r="F1088" s="19"/>
      <c r="G1088" s="21">
        <f>G1089</f>
        <v>7100.8</v>
      </c>
      <c r="H1088" s="21"/>
      <c r="K1088" s="21">
        <f>K1089</f>
        <v>6462.5</v>
      </c>
      <c r="L1088" s="21"/>
      <c r="M1088" s="83"/>
    </row>
    <row r="1089" spans="1:13" ht="31.5">
      <c r="A1089" s="18"/>
      <c r="B1089" s="18" t="s">
        <v>414</v>
      </c>
      <c r="C1089" s="19" t="s">
        <v>390</v>
      </c>
      <c r="D1089" s="19" t="s">
        <v>129</v>
      </c>
      <c r="E1089" s="19" t="s">
        <v>137</v>
      </c>
      <c r="F1089" s="19"/>
      <c r="G1089" s="21">
        <f>G1090</f>
        <v>7100.8</v>
      </c>
      <c r="H1089" s="21"/>
      <c r="K1089" s="21">
        <f>K1090</f>
        <v>6462.5</v>
      </c>
      <c r="L1089" s="21"/>
      <c r="M1089" s="83"/>
    </row>
    <row r="1090" spans="1:13" ht="15.75">
      <c r="A1090" s="18"/>
      <c r="B1090" s="18" t="s">
        <v>159</v>
      </c>
      <c r="C1090" s="19" t="s">
        <v>390</v>
      </c>
      <c r="D1090" s="19" t="s">
        <v>129</v>
      </c>
      <c r="E1090" s="19" t="s">
        <v>137</v>
      </c>
      <c r="F1090" s="19" t="s">
        <v>158</v>
      </c>
      <c r="G1090" s="21">
        <f>G1091</f>
        <v>7100.8</v>
      </c>
      <c r="H1090" s="21"/>
      <c r="K1090" s="21">
        <f>K1091</f>
        <v>6462.5</v>
      </c>
      <c r="L1090" s="21"/>
      <c r="M1090" s="83"/>
    </row>
    <row r="1091" spans="1:13" ht="31.5">
      <c r="A1091" s="18"/>
      <c r="B1091" s="18" t="s">
        <v>165</v>
      </c>
      <c r="C1091" s="19" t="s">
        <v>390</v>
      </c>
      <c r="D1091" s="19" t="s">
        <v>129</v>
      </c>
      <c r="E1091" s="19" t="s">
        <v>137</v>
      </c>
      <c r="F1091" s="19" t="s">
        <v>164</v>
      </c>
      <c r="G1091" s="21">
        <f>7191.2-130.4+40</f>
        <v>7100.8</v>
      </c>
      <c r="H1091" s="21"/>
      <c r="K1091" s="21">
        <v>6462.5</v>
      </c>
      <c r="L1091" s="21"/>
      <c r="M1091" s="83"/>
    </row>
    <row r="1092" ht="15.75">
      <c r="G1092" s="4"/>
    </row>
    <row r="1093" ht="15.75">
      <c r="G1093" s="4"/>
    </row>
    <row r="1094" ht="15.75">
      <c r="G1094" s="4"/>
    </row>
    <row r="1095" ht="15.75">
      <c r="G1095" s="4"/>
    </row>
    <row r="1096" ht="15.75">
      <c r="G1096" s="4"/>
    </row>
    <row r="1097" ht="15.75">
      <c r="G1097" s="4"/>
    </row>
    <row r="1098" ht="15.75">
      <c r="G1098" s="4"/>
    </row>
    <row r="1099" ht="15.75">
      <c r="G1099" s="4"/>
    </row>
    <row r="1100" ht="15.75">
      <c r="G1100" s="4"/>
    </row>
    <row r="1101" ht="15.75">
      <c r="G1101" s="4"/>
    </row>
    <row r="1102" ht="15.75">
      <c r="G1102" s="4"/>
    </row>
    <row r="1103" ht="15.75">
      <c r="G1103" s="4"/>
    </row>
    <row r="1104" ht="15.75">
      <c r="G1104" s="4"/>
    </row>
    <row r="1105" ht="15.75">
      <c r="G1105" s="4"/>
    </row>
    <row r="1106" ht="15.75">
      <c r="G1106" s="4"/>
    </row>
    <row r="1107" ht="15.75">
      <c r="G1107" s="4"/>
    </row>
    <row r="1108" ht="15.75">
      <c r="G1108" s="4"/>
    </row>
    <row r="1109" ht="15.75">
      <c r="G1109" s="4"/>
    </row>
    <row r="1110" ht="15.75">
      <c r="G1110" s="4"/>
    </row>
    <row r="1111" ht="15.75">
      <c r="G1111" s="4"/>
    </row>
    <row r="1112" ht="15.75">
      <c r="G1112" s="4"/>
    </row>
    <row r="1113" ht="15.75">
      <c r="G1113" s="4"/>
    </row>
    <row r="1114" ht="15.75">
      <c r="G1114" s="4"/>
    </row>
    <row r="1115" ht="15.75">
      <c r="G1115" s="4"/>
    </row>
    <row r="1116" ht="15.75">
      <c r="G1116" s="4"/>
    </row>
    <row r="1117" ht="15.75">
      <c r="G1117" s="4"/>
    </row>
    <row r="1118" ht="15.75">
      <c r="G1118" s="4"/>
    </row>
    <row r="1119" ht="15.75">
      <c r="G1119" s="4"/>
    </row>
    <row r="1120" ht="15.75">
      <c r="G1120" s="4"/>
    </row>
    <row r="1121" ht="15.75">
      <c r="G1121" s="4"/>
    </row>
    <row r="1122" ht="15.75">
      <c r="G1122" s="4"/>
    </row>
    <row r="1123" ht="15.75">
      <c r="G1123" s="4"/>
    </row>
    <row r="1124" ht="15.75">
      <c r="G1124" s="4"/>
    </row>
    <row r="1125" ht="15.75">
      <c r="G1125" s="4"/>
    </row>
    <row r="1126" ht="15.75">
      <c r="G1126" s="4"/>
    </row>
    <row r="1127" ht="15.75">
      <c r="G1127" s="4"/>
    </row>
    <row r="1128" ht="15.75">
      <c r="G1128" s="4"/>
    </row>
    <row r="1129" ht="15.75">
      <c r="G1129" s="4"/>
    </row>
    <row r="1130" ht="15.75">
      <c r="G1130" s="4"/>
    </row>
    <row r="1131" ht="15.75">
      <c r="G1131" s="4"/>
    </row>
    <row r="1132" ht="15.75">
      <c r="G1132" s="4"/>
    </row>
    <row r="1133" ht="15.75">
      <c r="G1133" s="4"/>
    </row>
    <row r="1134" ht="15.75">
      <c r="G1134" s="4"/>
    </row>
    <row r="1135" ht="15.75">
      <c r="G1135" s="4"/>
    </row>
    <row r="1136" ht="15.75">
      <c r="G1136" s="4"/>
    </row>
    <row r="1137" ht="15.75">
      <c r="G1137" s="4"/>
    </row>
    <row r="1138" ht="15.75">
      <c r="G1138" s="4"/>
    </row>
    <row r="1139" ht="15.75">
      <c r="G1139" s="4"/>
    </row>
    <row r="1140" ht="15.75">
      <c r="G1140" s="4"/>
    </row>
    <row r="1141" ht="15.75">
      <c r="G1141" s="4"/>
    </row>
    <row r="1142" ht="15.75">
      <c r="G1142" s="4"/>
    </row>
    <row r="1143" ht="15.75">
      <c r="G1143" s="4"/>
    </row>
    <row r="1144" ht="15.75">
      <c r="G1144" s="4"/>
    </row>
    <row r="1145" ht="15.75">
      <c r="G1145" s="4"/>
    </row>
    <row r="1146" ht="15.75">
      <c r="G1146" s="4"/>
    </row>
    <row r="1147" ht="15.75">
      <c r="G1147" s="4"/>
    </row>
    <row r="1148" ht="15.75">
      <c r="G1148" s="4"/>
    </row>
    <row r="1149" ht="15.75">
      <c r="G1149" s="4"/>
    </row>
    <row r="1150" ht="15.75">
      <c r="G1150" s="4"/>
    </row>
    <row r="1151" ht="15.75">
      <c r="G1151" s="4"/>
    </row>
    <row r="1152" ht="15.75">
      <c r="G1152" s="4"/>
    </row>
    <row r="1153" ht="15.75">
      <c r="G1153" s="4"/>
    </row>
    <row r="1154" ht="15.75">
      <c r="G1154" s="4"/>
    </row>
    <row r="1155" ht="15.75">
      <c r="G1155" s="4"/>
    </row>
    <row r="1156" ht="15.75">
      <c r="G1156" s="4"/>
    </row>
    <row r="1157" ht="15.75">
      <c r="G1157" s="4"/>
    </row>
    <row r="1158" ht="15.75">
      <c r="G1158" s="4"/>
    </row>
    <row r="1159" ht="15.75">
      <c r="G1159" s="4"/>
    </row>
    <row r="1160" ht="15.75">
      <c r="G1160" s="4"/>
    </row>
    <row r="1161" ht="15.75">
      <c r="G1161" s="4"/>
    </row>
    <row r="1162" ht="15.75">
      <c r="G1162" s="4"/>
    </row>
    <row r="1163" ht="15.75">
      <c r="G1163" s="4"/>
    </row>
    <row r="1164" ht="15.75">
      <c r="G1164" s="4"/>
    </row>
    <row r="1165" ht="15.75">
      <c r="G1165" s="4"/>
    </row>
    <row r="1166" ht="15.75">
      <c r="G1166" s="4"/>
    </row>
    <row r="1167" ht="15.75">
      <c r="G1167" s="4"/>
    </row>
    <row r="1168" ht="15.75">
      <c r="G1168" s="4"/>
    </row>
    <row r="1169" ht="15.75">
      <c r="G1169" s="4"/>
    </row>
    <row r="1170" ht="15.75">
      <c r="G1170" s="4"/>
    </row>
    <row r="1171" ht="15.75">
      <c r="G1171" s="4"/>
    </row>
    <row r="1172" ht="15.75">
      <c r="G1172" s="4"/>
    </row>
    <row r="1173" ht="15.75">
      <c r="G1173" s="4"/>
    </row>
    <row r="1174" ht="15.75">
      <c r="G1174" s="4"/>
    </row>
    <row r="1175" ht="15.75">
      <c r="G1175" s="4"/>
    </row>
    <row r="1176" ht="15.75">
      <c r="G1176" s="4"/>
    </row>
    <row r="1177" ht="15.75">
      <c r="G1177" s="4"/>
    </row>
    <row r="1178" ht="15.75">
      <c r="G1178" s="4"/>
    </row>
    <row r="1179" ht="15.75">
      <c r="G1179" s="4"/>
    </row>
    <row r="1180" ht="15.75">
      <c r="G1180" s="4"/>
    </row>
    <row r="1181" ht="15.75">
      <c r="G1181" s="4"/>
    </row>
    <row r="1182" ht="15.75">
      <c r="G1182" s="4"/>
    </row>
    <row r="1183" ht="15.75">
      <c r="G1183" s="4"/>
    </row>
    <row r="1184" ht="15.75">
      <c r="G1184" s="4"/>
    </row>
    <row r="1185" ht="15.75">
      <c r="G1185" s="4"/>
    </row>
    <row r="1186" ht="15.75">
      <c r="G1186" s="4"/>
    </row>
    <row r="1187" ht="15.75">
      <c r="G1187" s="4"/>
    </row>
    <row r="1188" ht="15.75">
      <c r="G1188" s="4"/>
    </row>
    <row r="1189" ht="15.75">
      <c r="G1189" s="4"/>
    </row>
    <row r="1190" ht="15.75">
      <c r="G1190" s="4"/>
    </row>
    <row r="1191" ht="15.75">
      <c r="G1191" s="4"/>
    </row>
    <row r="1192" ht="15.75">
      <c r="G1192" s="4"/>
    </row>
    <row r="1193" ht="15.75">
      <c r="G1193" s="4"/>
    </row>
    <row r="1194" ht="15.75">
      <c r="G1194" s="4"/>
    </row>
    <row r="1195" ht="15.75">
      <c r="G1195" s="4"/>
    </row>
    <row r="1196" ht="15.75">
      <c r="G1196" s="4"/>
    </row>
    <row r="1197" ht="15.75">
      <c r="G1197" s="4"/>
    </row>
    <row r="1198" ht="15.75">
      <c r="G1198" s="4"/>
    </row>
    <row r="1199" ht="15.75">
      <c r="G1199" s="4"/>
    </row>
    <row r="1200" ht="15.75">
      <c r="G1200" s="4"/>
    </row>
    <row r="1201" ht="15.75">
      <c r="G1201" s="4"/>
    </row>
    <row r="1202" ht="15.75">
      <c r="G1202" s="4"/>
    </row>
    <row r="1203" ht="15.75">
      <c r="G1203" s="4"/>
    </row>
    <row r="1204" ht="15.75">
      <c r="G1204" s="4"/>
    </row>
    <row r="1205" ht="15.75">
      <c r="G1205" s="4"/>
    </row>
    <row r="1206" ht="15.75">
      <c r="G1206" s="4"/>
    </row>
    <row r="1207" ht="15.75">
      <c r="G1207" s="4"/>
    </row>
    <row r="1208" ht="15.75">
      <c r="G1208" s="4"/>
    </row>
    <row r="1209" ht="15.75">
      <c r="G1209" s="4"/>
    </row>
    <row r="1210" ht="15.75">
      <c r="G1210" s="4"/>
    </row>
    <row r="1211" ht="15.75">
      <c r="G1211" s="4"/>
    </row>
    <row r="1212" ht="15.75">
      <c r="G1212" s="4"/>
    </row>
    <row r="1213" ht="15.75">
      <c r="G1213" s="4"/>
    </row>
    <row r="1214" ht="15.75">
      <c r="G1214" s="4"/>
    </row>
    <row r="1215" ht="15.75">
      <c r="G1215" s="4"/>
    </row>
    <row r="1216" ht="15.75">
      <c r="G1216" s="4"/>
    </row>
    <row r="1217" ht="15.75">
      <c r="G1217" s="4"/>
    </row>
    <row r="1218" ht="15.75">
      <c r="G1218" s="4"/>
    </row>
    <row r="1219" ht="15.75">
      <c r="G1219" s="4"/>
    </row>
    <row r="1220" ht="15.75">
      <c r="G1220" s="4"/>
    </row>
    <row r="1221" ht="15.75">
      <c r="G1221" s="4"/>
    </row>
    <row r="1222" ht="15.75">
      <c r="G1222" s="4"/>
    </row>
    <row r="1223" ht="15.75">
      <c r="G1223" s="4"/>
    </row>
    <row r="1224" ht="15.75">
      <c r="G1224" s="4"/>
    </row>
    <row r="1225" ht="15.75">
      <c r="G1225" s="4"/>
    </row>
    <row r="1226" ht="15.75">
      <c r="G1226" s="4"/>
    </row>
    <row r="1227" ht="15.75">
      <c r="G1227" s="4"/>
    </row>
    <row r="1228" ht="15.75">
      <c r="G1228" s="4"/>
    </row>
    <row r="1229" ht="15.75">
      <c r="G1229" s="4"/>
    </row>
    <row r="1230" ht="15.75">
      <c r="G1230" s="4"/>
    </row>
    <row r="1231" ht="15.75">
      <c r="G1231" s="4"/>
    </row>
    <row r="1232" ht="15.75">
      <c r="G1232" s="4"/>
    </row>
    <row r="1233" ht="15.75">
      <c r="G1233" s="4"/>
    </row>
    <row r="1234" ht="15.75">
      <c r="G1234" s="4"/>
    </row>
    <row r="1235" ht="15.75">
      <c r="G1235" s="4"/>
    </row>
    <row r="1236" ht="15.75">
      <c r="G1236" s="4"/>
    </row>
    <row r="1237" ht="15.75">
      <c r="G1237" s="4"/>
    </row>
    <row r="1238" ht="15.75">
      <c r="G1238" s="4"/>
    </row>
    <row r="1239" ht="15.75">
      <c r="G1239" s="4"/>
    </row>
    <row r="1240" ht="15.75">
      <c r="G1240" s="4"/>
    </row>
    <row r="1241" ht="15.75">
      <c r="G1241" s="4"/>
    </row>
    <row r="1242" ht="15.75">
      <c r="G1242" s="4"/>
    </row>
    <row r="1243" ht="15.75">
      <c r="G1243" s="4"/>
    </row>
    <row r="1244" ht="15.75">
      <c r="G1244" s="4"/>
    </row>
    <row r="1245" ht="15.75">
      <c r="G1245" s="4"/>
    </row>
    <row r="1246" ht="15.75">
      <c r="G1246" s="4"/>
    </row>
    <row r="1247" ht="15.75">
      <c r="G1247" s="4"/>
    </row>
    <row r="1248" ht="15.75">
      <c r="G1248" s="4"/>
    </row>
    <row r="1249" ht="15.75">
      <c r="G1249" s="4"/>
    </row>
    <row r="1250" ht="15.75">
      <c r="G1250" s="4"/>
    </row>
    <row r="1251" ht="15.75">
      <c r="G1251" s="4"/>
    </row>
    <row r="1252" ht="15.75">
      <c r="G1252" s="4"/>
    </row>
    <row r="1253" ht="15.75">
      <c r="G1253" s="4"/>
    </row>
    <row r="1254" ht="15.75">
      <c r="G1254" s="4"/>
    </row>
    <row r="1255" ht="15.75">
      <c r="G1255" s="4"/>
    </row>
    <row r="1256" ht="15.75">
      <c r="G1256" s="4"/>
    </row>
    <row r="1257" ht="15.75">
      <c r="G1257" s="4"/>
    </row>
    <row r="1258" ht="15.75">
      <c r="G1258" s="4"/>
    </row>
    <row r="1259" ht="15.75">
      <c r="G1259" s="4"/>
    </row>
    <row r="1260" ht="15.75">
      <c r="G1260" s="4"/>
    </row>
    <row r="1261" ht="15.75">
      <c r="G1261" s="4"/>
    </row>
    <row r="1262" ht="15.75">
      <c r="G1262" s="4"/>
    </row>
    <row r="1263" ht="15.75">
      <c r="G1263" s="4"/>
    </row>
    <row r="1264" ht="15.75">
      <c r="G1264" s="4"/>
    </row>
    <row r="1265" ht="15.75">
      <c r="G1265" s="4"/>
    </row>
    <row r="1266" ht="15.75">
      <c r="G1266" s="4"/>
    </row>
    <row r="1267" ht="15.75">
      <c r="G1267" s="4"/>
    </row>
    <row r="1268" ht="15.75">
      <c r="G1268" s="4"/>
    </row>
    <row r="1269" ht="15.75">
      <c r="G1269" s="4"/>
    </row>
    <row r="1270" ht="15.75">
      <c r="G1270" s="4"/>
    </row>
    <row r="1271" ht="15.75">
      <c r="G1271" s="4"/>
    </row>
    <row r="1272" ht="15.75">
      <c r="G1272" s="4"/>
    </row>
    <row r="1273" ht="15.75">
      <c r="G1273" s="4"/>
    </row>
    <row r="1274" ht="15.75">
      <c r="G1274" s="4"/>
    </row>
    <row r="1275" ht="15.75">
      <c r="G1275" s="4"/>
    </row>
    <row r="1276" ht="15.75">
      <c r="G1276" s="4"/>
    </row>
    <row r="1277" ht="15.75">
      <c r="G1277" s="4"/>
    </row>
    <row r="1278" ht="15.75">
      <c r="G1278" s="4"/>
    </row>
    <row r="1279" ht="15.75">
      <c r="G1279" s="4"/>
    </row>
    <row r="1280" ht="15.75">
      <c r="G1280" s="4"/>
    </row>
    <row r="1281" ht="15.75">
      <c r="G1281" s="4"/>
    </row>
    <row r="1282" ht="15.75">
      <c r="G1282" s="4"/>
    </row>
    <row r="1283" ht="15.75">
      <c r="G1283" s="4"/>
    </row>
    <row r="1284" ht="15.75">
      <c r="G1284" s="4"/>
    </row>
    <row r="1285" ht="15.75">
      <c r="G1285" s="4"/>
    </row>
    <row r="1286" ht="15.75">
      <c r="G1286" s="4"/>
    </row>
    <row r="1287" ht="15.75">
      <c r="G1287" s="4"/>
    </row>
    <row r="1288" ht="15.75">
      <c r="G1288" s="4"/>
    </row>
    <row r="1289" ht="15.75">
      <c r="G1289" s="4"/>
    </row>
    <row r="1290" ht="15.75">
      <c r="G1290" s="4"/>
    </row>
    <row r="1291" ht="15.75">
      <c r="G1291" s="4"/>
    </row>
    <row r="1292" ht="15.75">
      <c r="G1292" s="4"/>
    </row>
    <row r="1293" ht="15.75">
      <c r="G1293" s="4"/>
    </row>
    <row r="1294" ht="15.75">
      <c r="G1294" s="4"/>
    </row>
    <row r="1295" ht="15.75">
      <c r="G1295" s="4"/>
    </row>
    <row r="1296" ht="15.75">
      <c r="G1296" s="4"/>
    </row>
    <row r="1297" ht="15.75">
      <c r="G1297" s="4"/>
    </row>
    <row r="1298" ht="15.75">
      <c r="G1298" s="4"/>
    </row>
    <row r="1299" ht="15.75">
      <c r="G1299" s="4"/>
    </row>
    <row r="1300" ht="15.75">
      <c r="G1300" s="4"/>
    </row>
    <row r="1301" ht="15.75">
      <c r="G1301" s="4"/>
    </row>
    <row r="1302" ht="15.75">
      <c r="G1302" s="4"/>
    </row>
    <row r="1303" ht="15.75">
      <c r="G1303" s="4"/>
    </row>
    <row r="1304" ht="15.75">
      <c r="G1304" s="4"/>
    </row>
    <row r="1305" ht="15.75">
      <c r="G1305" s="4"/>
    </row>
    <row r="1306" ht="15.75">
      <c r="G1306" s="4"/>
    </row>
    <row r="1307" ht="15.75">
      <c r="G1307" s="4"/>
    </row>
    <row r="1308" ht="15.75">
      <c r="G1308" s="4"/>
    </row>
    <row r="1309" ht="15.75">
      <c r="G1309" s="4"/>
    </row>
    <row r="1310" ht="15.75">
      <c r="G1310" s="4"/>
    </row>
    <row r="1311" ht="15.75">
      <c r="G1311" s="4"/>
    </row>
    <row r="1312" ht="15.75">
      <c r="G1312" s="4"/>
    </row>
    <row r="1313" ht="15.75">
      <c r="G1313" s="4"/>
    </row>
    <row r="1314" ht="15.75">
      <c r="G1314" s="4"/>
    </row>
    <row r="1315" ht="15.75">
      <c r="G1315" s="4"/>
    </row>
    <row r="1316" ht="15.75">
      <c r="G1316" s="4"/>
    </row>
    <row r="1317" ht="15.75">
      <c r="G1317" s="4"/>
    </row>
    <row r="1318" ht="15.75">
      <c r="G1318" s="4"/>
    </row>
    <row r="1319" ht="15.75">
      <c r="G1319" s="4"/>
    </row>
    <row r="1320" ht="15.75">
      <c r="G1320" s="4"/>
    </row>
    <row r="1321" ht="15.75">
      <c r="G1321" s="4"/>
    </row>
    <row r="1322" ht="15.75">
      <c r="G1322" s="4"/>
    </row>
    <row r="1323" ht="15.75">
      <c r="G1323" s="4"/>
    </row>
    <row r="1324" ht="15.75">
      <c r="G1324" s="4"/>
    </row>
    <row r="1325" ht="15.75">
      <c r="G1325" s="4"/>
    </row>
    <row r="1326" ht="15.75">
      <c r="G1326" s="4"/>
    </row>
    <row r="1327" ht="15.75">
      <c r="G1327" s="4"/>
    </row>
    <row r="1328" ht="15.75">
      <c r="G1328" s="4"/>
    </row>
    <row r="1329" ht="15.75">
      <c r="G1329" s="4"/>
    </row>
    <row r="1330" ht="15.75">
      <c r="G1330" s="4"/>
    </row>
    <row r="1331" ht="15.75">
      <c r="G1331" s="4"/>
    </row>
    <row r="1332" ht="15.75">
      <c r="G1332" s="4"/>
    </row>
    <row r="1333" ht="15.75">
      <c r="G1333" s="4"/>
    </row>
    <row r="1334" ht="15.75">
      <c r="G1334" s="4"/>
    </row>
    <row r="1335" ht="15.75">
      <c r="G1335" s="4"/>
    </row>
    <row r="1336" ht="15.75">
      <c r="G1336" s="4"/>
    </row>
    <row r="1337" ht="15.75">
      <c r="G1337" s="4"/>
    </row>
    <row r="1338" ht="15.75">
      <c r="G1338" s="4"/>
    </row>
    <row r="1339" ht="15.75">
      <c r="G1339" s="4"/>
    </row>
    <row r="1340" ht="15.75">
      <c r="G1340" s="4"/>
    </row>
    <row r="1341" ht="15.75">
      <c r="G1341" s="4"/>
    </row>
    <row r="1342" ht="15.75">
      <c r="G1342" s="4"/>
    </row>
    <row r="1343" ht="15.75">
      <c r="G1343" s="4"/>
    </row>
    <row r="1344" ht="15.75">
      <c r="G1344" s="4"/>
    </row>
    <row r="1345" ht="15.75">
      <c r="G1345" s="4"/>
    </row>
    <row r="1346" ht="15.75">
      <c r="G1346" s="4"/>
    </row>
    <row r="1347" ht="15.75">
      <c r="G1347" s="4"/>
    </row>
    <row r="1348" ht="15.75">
      <c r="G1348" s="4"/>
    </row>
    <row r="1349" ht="15.75">
      <c r="G1349" s="4"/>
    </row>
    <row r="1350" ht="15.75">
      <c r="G1350" s="4"/>
    </row>
    <row r="1351" ht="15.75">
      <c r="G1351" s="4"/>
    </row>
    <row r="1352" ht="15.75">
      <c r="G1352" s="4"/>
    </row>
  </sheetData>
  <sheetProtection/>
  <autoFilter ref="A14:L1091"/>
  <mergeCells count="11">
    <mergeCell ref="E13:E14"/>
    <mergeCell ref="F13:F14"/>
    <mergeCell ref="G13:H13"/>
    <mergeCell ref="K13:M13"/>
    <mergeCell ref="B12:H12"/>
    <mergeCell ref="A10:L10"/>
    <mergeCell ref="A11:L11"/>
    <mergeCell ref="A13:A14"/>
    <mergeCell ref="B13:B14"/>
    <mergeCell ref="C13:C14"/>
    <mergeCell ref="D13:D14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49" r:id="rId1"/>
  <headerFooter alignWithMargins="0">
    <oddFooter>&amp;L36/мз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Галина Н. Тихомирова</cp:lastModifiedBy>
  <cp:lastPrinted>2020-06-30T08:43:34Z</cp:lastPrinted>
  <dcterms:created xsi:type="dcterms:W3CDTF">2007-08-15T05:41:05Z</dcterms:created>
  <dcterms:modified xsi:type="dcterms:W3CDTF">2020-06-30T08:43:37Z</dcterms:modified>
  <cp:category/>
  <cp:version/>
  <cp:contentType/>
  <cp:contentStatus/>
</cp:coreProperties>
</file>