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9 год " sheetId="1" r:id="rId1"/>
  </sheets>
  <definedNames>
    <definedName name="_xlnm._FilterDatabase" localSheetId="0" hidden="1">'2019 год '!$A$16:$I$1191</definedName>
    <definedName name="Z_2EB26682_1E14_41BF_A300_9871E16F1E86_.wvu.FilterData" localSheetId="0" hidden="1">'2019 год '!$A$17:$F$1191</definedName>
    <definedName name="Z_2EB26682_1E14_41BF_A300_9871E16F1E86_.wvu.PrintArea" localSheetId="0" hidden="1">'2019 год '!$A$2:$F$1191</definedName>
    <definedName name="Z_3708D406_71C9_49CC_A67A_2D2190B41A82_.wvu.FilterData" localSheetId="0" hidden="1">'2019 год '!$A$17:$I$1191</definedName>
    <definedName name="Z_742DD9F2_8A71_4480_AC11_A74320E5619E_.wvu.FilterData" localSheetId="0" hidden="1">'2019 год '!$A$17:$I$1191</definedName>
    <definedName name="Z_829AF458_32E9_4EBE_8AEA_C1C6BE533EAE_.wvu.FilterData" localSheetId="0" hidden="1">'2019 год '!$A$17:$I$1191</definedName>
    <definedName name="Z_829AF458_32E9_4EBE_8AEA_C1C6BE533EAE_.wvu.PrintArea" localSheetId="0" hidden="1">'2019 год '!$A$2:$F$1207</definedName>
    <definedName name="Z_829AF458_32E9_4EBE_8AEA_C1C6BE533EAE_.wvu.PrintTitles" localSheetId="0" hidden="1">'2019 год '!$14:$16</definedName>
    <definedName name="Z_829AF458_32E9_4EBE_8AEA_C1C6BE533EAE_.wvu.Rows" localSheetId="0" hidden="1">'2019 год '!#REF!</definedName>
    <definedName name="Z_8E538972_DCB6_4DF0_B6A0_1DAF22EE85A5_.wvu.FilterData" localSheetId="0" hidden="1">'2019 год '!$A$17:$F$1191</definedName>
    <definedName name="Z_8E538972_DCB6_4DF0_B6A0_1DAF22EE85A5_.wvu.PrintArea" localSheetId="0" hidden="1">'2019 год '!$A$2:$F$1191</definedName>
    <definedName name="Z_9EB2C763_BF55_421A_9B12_FB75DAF70818_.wvu.FilterData" localSheetId="0" hidden="1">'2019 год '!$A$11:$F$1191</definedName>
    <definedName name="Z_A8461B4A_AE19_4EF2_B6F9_F9B973A06FD1_.wvu.FilterData" localSheetId="0" hidden="1">'2019 год '!$A$17:$F$1191</definedName>
    <definedName name="Z_A8461B4A_AE19_4EF2_B6F9_F9B973A06FD1_.wvu.PrintArea" localSheetId="0" hidden="1">'2019 год '!$A$2:$F$1191</definedName>
    <definedName name="Z_B3932895_A846_447D_8D2E_8A665303D3FC_.wvu.FilterData" localSheetId="0" hidden="1">'2019 год '!$A$11:$F$1191</definedName>
    <definedName name="Z_B452F1D7_E242_4E66_AEEE_75884A98B5E4_.wvu.FilterData" localSheetId="0" hidden="1">'2019 год '!$A$17:$I$1191</definedName>
    <definedName name="Z_D0B00AD6_8582_4105_AEEE_647425D7F180_.wvu.FilterData" localSheetId="0" hidden="1">'2019 год '!$A$11:$F$1191</definedName>
    <definedName name="Z_DEEAFF70_302D_4EE4_8D9C_7BB1BBA5AB30_.wvu.FilterData" localSheetId="0" hidden="1">'2019 год '!$A$17:$I$1191</definedName>
    <definedName name="Z_E26F76F3_B5FD_4390_A599_DF837A45612F_.wvu.FilterData" localSheetId="0" hidden="1">'2019 год '!$A$11:$F$1191</definedName>
    <definedName name="Z_E6BE4A0A_65C8_4D78_A29F_DDA803BF07E4_.wvu.FilterData" localSheetId="0" hidden="1">'2019 год '!$A$17:$F$1191</definedName>
    <definedName name="Z_E6BE4A0A_65C8_4D78_A29F_DDA803BF07E4_.wvu.PrintArea" localSheetId="0" hidden="1">'2019 год '!$A$2:$F$1191</definedName>
    <definedName name="Z_F18CDA44_02C6_4BCD_94BC_76E4781E3F1C_.wvu.FilterData" localSheetId="0" hidden="1">'2019 год '!$A$17:$F$1191</definedName>
    <definedName name="Z_F18CDA44_02C6_4BCD_94BC_76E4781E3F1C_.wvu.PrintArea" localSheetId="0" hidden="1">'2019 год '!$A$2:$F$1191</definedName>
    <definedName name="_xlnm.Print_Titles" localSheetId="0">'2019 год '!$15:$16</definedName>
    <definedName name="_xlnm.Print_Area" localSheetId="0">'2019 год '!$A$1:$I$1191</definedName>
  </definedNames>
  <calcPr fullCalcOnLoad="1"/>
</workbook>
</file>

<file path=xl/sharedStrings.xml><?xml version="1.0" encoding="utf-8"?>
<sst xmlns="http://schemas.openxmlformats.org/spreadsheetml/2006/main" count="4154" uniqueCount="768">
  <si>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</si>
  <si>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</si>
  <si>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</si>
  <si>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</si>
  <si>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</si>
  <si>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</si>
  <si>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</si>
  <si>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</si>
  <si>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</si>
  <si>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</si>
  <si>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</si>
  <si>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</si>
  <si>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</si>
  <si>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</si>
  <si>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</si>
  <si>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</si>
  <si>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</si>
  <si>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</si>
  <si>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</si>
  <si>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</si>
  <si>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</si>
  <si>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</si>
  <si>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</si>
  <si>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</si>
  <si>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</si>
  <si>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</si>
  <si>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</si>
  <si>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</si>
  <si>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</si>
  <si>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</si>
  <si>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</si>
  <si>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</si>
  <si>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</si>
  <si>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</si>
  <si>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</si>
  <si>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</si>
  <si>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</si>
  <si>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</si>
  <si>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</si>
  <si>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</si>
  <si>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</si>
  <si>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</si>
  <si>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</si>
  <si>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</si>
  <si>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</si>
  <si>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</si>
  <si>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</si>
  <si>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</si>
  <si>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</si>
  <si>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</si>
  <si>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</si>
  <si>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</si>
  <si>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</si>
  <si>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</si>
  <si>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</si>
  <si>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</si>
  <si>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</si>
  <si>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</si>
  <si>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</si>
  <si>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</si>
  <si>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</si>
  <si>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</si>
  <si>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</si>
  <si>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</si>
  <si>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</si>
  <si>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</si>
  <si>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</si>
  <si>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</si>
  <si>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</si>
  <si>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</si>
  <si>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</si>
  <si>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</si>
  <si>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</si>
  <si>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</si>
  <si>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</si>
  <si>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</si>
  <si>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</si>
  <si>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</si>
  <si>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</si>
  <si>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</si>
  <si>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</si>
  <si>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</si>
  <si>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</si>
  <si>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</si>
  <si>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</si>
  <si>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</si>
  <si>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</si>
  <si>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</si>
  <si>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</si>
  <si>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</si>
  <si>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</si>
  <si>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</si>
  <si>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</si>
  <si>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</si>
  <si>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</si>
  <si>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</si>
  <si>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</si>
  <si>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</si>
  <si>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</si>
  <si>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</si>
  <si>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</si>
  <si>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</si>
  <si>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</si>
  <si>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</si>
  <si>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</si>
  <si>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</si>
  <si>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</si>
  <si>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</si>
  <si>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</si>
  <si>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</si>
  <si>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</si>
  <si>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</si>
  <si>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</si>
  <si>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</si>
  <si>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</si>
  <si>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</si>
  <si>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</si>
  <si>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</si>
  <si>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</si>
  <si>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</si>
  <si>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</si>
  <si>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</si>
  <si>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</si>
  <si>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</si>
  <si>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</si>
  <si>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</si>
  <si>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</si>
  <si>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</si>
  <si>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</si>
  <si>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</si>
  <si>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</si>
  <si>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</si>
  <si>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</si>
  <si>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</si>
  <si>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</si>
  <si>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</si>
  <si>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</si>
  <si>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</si>
  <si>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</si>
  <si>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</si>
  <si>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</si>
  <si>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</si>
  <si>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</si>
  <si>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</si>
  <si>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</si>
  <si>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</si>
  <si>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</si>
  <si>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</si>
  <si>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</si>
  <si>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</si>
  <si>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</si>
  <si>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</si>
  <si>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</si>
  <si>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</si>
  <si>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</si>
  <si>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</si>
  <si>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</si>
  <si>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</si>
  <si>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</si>
  <si>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</si>
  <si>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</si>
  <si>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</si>
  <si>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</si>
  <si>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</si>
  <si>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</si>
  <si>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</si>
  <si>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</si>
  <si>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</si>
  <si>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</si>
  <si>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</si>
  <si>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</si>
  <si>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</si>
  <si>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</si>
  <si>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</si>
  <si>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</si>
  <si>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</si>
  <si>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</si>
  <si>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</si>
  <si>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</si>
  <si>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</si>
  <si>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</si>
  <si>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</si>
  <si>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</si>
  <si>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</si>
  <si>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</si>
  <si>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</si>
  <si>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</si>
  <si>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</si>
  <si>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</si>
  <si>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</si>
  <si>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</si>
  <si>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</si>
  <si>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</si>
  <si>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</si>
  <si>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</si>
  <si>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</si>
  <si>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</si>
  <si>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</si>
  <si>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</si>
  <si>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</si>
  <si>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</si>
  <si>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</si>
  <si>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>в том числе за счет межбюджетных трансфертов</t>
  </si>
  <si>
    <t>0703</t>
  </si>
  <si>
    <t>Дополнительное образование детей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</si>
  <si>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</si>
  <si>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</si>
  <si>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</si>
  <si>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</si>
  <si>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</si>
  <si>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</si>
  <si>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</si>
  <si>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</si>
  <si>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</si>
  <si>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</si>
  <si>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</si>
  <si>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</si>
  <si>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</si>
  <si>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</si>
  <si>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</si>
  <si>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S2260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</si>
  <si>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</si>
  <si>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</si>
  <si>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</si>
  <si>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</si>
  <si>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</si>
  <si>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</si>
  <si>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</si>
  <si>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</si>
  <si>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</si>
  <si>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</si>
  <si>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</si>
  <si>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</si>
  <si>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</si>
  <si>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</si>
  <si>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</si>
  <si>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</si>
  <si>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</si>
  <si>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</si>
  <si>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</si>
  <si>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</si>
  <si>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</si>
  <si>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Другие вопросы в области средств массовой информации</t>
  </si>
  <si>
    <t>1204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</si>
  <si>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</si>
  <si>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</si>
  <si>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</si>
  <si>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</si>
  <si>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</si>
  <si>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</si>
  <si>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</si>
  <si>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</si>
  <si>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</si>
  <si>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</si>
  <si>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</si>
  <si>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</si>
  <si>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</si>
  <si>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</si>
  <si>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</si>
  <si>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</si>
  <si>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</si>
  <si>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</si>
  <si>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</si>
  <si>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</si>
  <si>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</si>
  <si>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</si>
  <si>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</si>
  <si>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</si>
  <si>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</si>
  <si>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</si>
  <si>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</si>
  <si>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</si>
  <si>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</si>
  <si>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</si>
  <si>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</si>
  <si>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</si>
  <si>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</si>
  <si>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</si>
  <si>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</si>
  <si>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</si>
  <si>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</si>
  <si>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</si>
  <si>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</si>
  <si>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</si>
  <si>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</si>
  <si>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</si>
  <si>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</si>
  <si>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</si>
  <si>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</si>
  <si>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</si>
  <si>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</si>
  <si>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</si>
  <si>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</si>
  <si>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</si>
  <si>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</si>
  <si>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</si>
  <si>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</si>
  <si>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</si>
  <si>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</si>
  <si>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</si>
  <si>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</si>
  <si>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</si>
  <si>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</si>
  <si>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</si>
  <si>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</si>
  <si>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</si>
  <si>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</si>
  <si>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</si>
  <si>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</si>
  <si>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</si>
  <si>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</si>
  <si>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</si>
  <si>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</si>
  <si>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</si>
  <si>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</si>
  <si>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</si>
  <si>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</si>
  <si>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</si>
  <si>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</si>
  <si>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</si>
  <si>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</si>
  <si>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</si>
  <si>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</si>
  <si>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</si>
  <si>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</si>
  <si>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</si>
  <si>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</si>
  <si>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</si>
  <si>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</si>
  <si>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</si>
  <si>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</si>
  <si>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</si>
  <si>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</si>
  <si>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</si>
  <si>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</si>
  <si>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</si>
  <si>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</si>
  <si>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</si>
  <si>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</si>
  <si>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</si>
  <si>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</si>
  <si>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</si>
  <si>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</si>
  <si>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</si>
  <si>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</si>
  <si>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</si>
  <si>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</si>
  <si>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</si>
  <si>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</si>
  <si>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</si>
  <si>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</si>
  <si>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</si>
  <si>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</si>
  <si>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</si>
  <si>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</si>
  <si>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</si>
  <si>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</si>
  <si>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</si>
  <si>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</si>
  <si>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</si>
  <si>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</si>
  <si>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</si>
  <si>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</si>
  <si>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</si>
  <si>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</si>
  <si>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</si>
  <si>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</si>
  <si>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</si>
  <si>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</si>
  <si>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</si>
  <si>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</si>
  <si>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</si>
  <si>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</si>
  <si>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</si>
  <si>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</si>
  <si>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</si>
  <si>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</si>
  <si>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</si>
  <si>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</si>
  <si>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</si>
  <si>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</si>
  <si>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</si>
  <si>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</si>
  <si>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</si>
  <si>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</si>
  <si>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</si>
  <si>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</si>
  <si>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</si>
  <si>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</si>
  <si>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</si>
  <si>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</si>
  <si>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</si>
  <si>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</si>
  <si>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</si>
  <si>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</si>
  <si>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</si>
  <si>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</si>
  <si>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</si>
  <si>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</si>
  <si>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</si>
  <si>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</si>
  <si>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</si>
  <si>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</si>
  <si>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</si>
  <si>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</si>
  <si>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</si>
  <si>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</si>
  <si>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</si>
  <si>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</si>
  <si>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</si>
  <si>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</si>
  <si>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</si>
  <si>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</si>
  <si>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</si>
  <si>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</si>
  <si>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</si>
  <si>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</si>
  <si>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</si>
  <si>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</si>
  <si>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</si>
  <si>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</si>
  <si>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</si>
  <si>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</si>
  <si>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</si>
  <si>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</si>
  <si>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</si>
  <si>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</si>
  <si>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</si>
  <si>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</si>
  <si>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</si>
  <si>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</si>
  <si>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</si>
  <si>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</si>
  <si>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</si>
  <si>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</si>
  <si>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</si>
  <si>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</si>
  <si>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</si>
  <si>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</si>
  <si>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</si>
  <si>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</si>
  <si>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</si>
  <si>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</si>
  <si>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</si>
  <si>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</si>
  <si>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</si>
  <si>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</si>
  <si>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</si>
  <si>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</si>
  <si>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</si>
  <si>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</si>
  <si>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</si>
  <si>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</si>
  <si>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</si>
  <si>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</si>
  <si>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</si>
  <si>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</si>
  <si>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</si>
  <si>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</si>
  <si>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</si>
  <si>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</si>
  <si>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</si>
  <si>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</si>
  <si>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11 0 00 88860</t>
  </si>
  <si>
    <t>Предоставление субсидии Союзу "Торгово-промышленная палата Сергиево-Посадского района"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</si>
  <si>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</si>
  <si>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</si>
  <si>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</si>
  <si>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</si>
  <si>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</si>
  <si>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</si>
  <si>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</si>
  <si>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</si>
  <si>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</si>
  <si>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</si>
  <si>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</si>
  <si>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</si>
  <si>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</si>
  <si>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</si>
  <si>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06 0 00 L5670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</si>
  <si>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</si>
  <si>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</si>
  <si>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</si>
  <si>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</si>
  <si>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</si>
  <si>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</si>
  <si>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</si>
  <si>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</si>
  <si>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</si>
  <si>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</si>
  <si>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</si>
  <si>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</si>
  <si>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</si>
  <si>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</si>
  <si>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</si>
  <si>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</si>
  <si>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</si>
  <si>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</si>
  <si>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>02 1 00 88100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</si>
  <si>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</si>
  <si>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</si>
  <si>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</si>
  <si>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>09 7 00 51340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</si>
  <si>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</si>
  <si>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Мероприятие "Создание и развитие индустриальных парков, промышленных площадок"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</si>
  <si>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</si>
  <si>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</si>
  <si>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</si>
  <si>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</si>
  <si>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</si>
  <si>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</si>
  <si>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</si>
  <si>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23 0 00 S1560</t>
  </si>
  <si>
    <t>Установка индивидуальных приборов учета энергетических ресурсов в муниципальном жилищном фонде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</si>
  <si>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</si>
  <si>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</si>
  <si>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</si>
  <si>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</si>
  <si>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Связь и информатика</t>
  </si>
  <si>
    <t>0410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</si>
  <si>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</si>
  <si>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</si>
  <si>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</si>
  <si>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</si>
  <si>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</si>
  <si>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</si>
  <si>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22 0 00 06004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</si>
  <si>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</si>
  <si>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</si>
  <si>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</si>
  <si>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12 5 00 07704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</si>
  <si>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</si>
  <si>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</si>
  <si>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</si>
  <si>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11 0 00 07774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</si>
  <si>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</si>
  <si>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11 0 00 08774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</si>
  <si>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</si>
  <si>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</si>
  <si>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</si>
  <si>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</si>
  <si>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</si>
  <si>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</si>
  <si>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</si>
  <si>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</si>
  <si>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</si>
  <si>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</si>
  <si>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</si>
  <si>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</si>
  <si>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</si>
  <si>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</si>
  <si>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</si>
  <si>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</si>
  <si>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</si>
  <si>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</si>
  <si>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</si>
  <si>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</si>
  <si>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</si>
  <si>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</si>
  <si>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</si>
  <si>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</si>
  <si>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</si>
  <si>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</si>
  <si>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</si>
  <si>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</si>
  <si>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</si>
  <si>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</si>
  <si>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</si>
  <si>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</si>
  <si>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S0600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</si>
  <si>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</si>
  <si>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</si>
  <si>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04 0 D6 S0940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</si>
  <si>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</si>
  <si>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</si>
  <si>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</si>
  <si>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</si>
  <si>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</si>
  <si>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</si>
  <si>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</si>
  <si>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</si>
  <si>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</si>
  <si>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</si>
  <si>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</si>
  <si>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</si>
  <si>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</si>
  <si>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</si>
  <si>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</si>
  <si>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</si>
  <si>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Осуществление полномочий (части полномочий) в сфере осуществления закупок товаров, работ и услуг за счет иных межбюджетных трансфертов из бюджетов поселений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</si>
  <si>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</si>
  <si>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</si>
  <si>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</si>
  <si>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</si>
  <si>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</si>
  <si>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</si>
  <si>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</si>
  <si>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</si>
  <si>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</si>
  <si>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</si>
  <si>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</si>
  <si>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</si>
  <si>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</si>
  <si>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</si>
  <si>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</si>
  <si>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</si>
  <si>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</si>
  <si>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</si>
  <si>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</si>
  <si>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</si>
  <si>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</si>
  <si>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</si>
  <si>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</si>
  <si>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</si>
  <si>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</si>
  <si>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</si>
  <si>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</si>
  <si>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</si>
  <si>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</si>
  <si>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</si>
  <si>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Массовый спорт</t>
  </si>
  <si>
    <t>1102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</si>
  <si>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</si>
  <si>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</si>
  <si>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</si>
  <si>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</si>
  <si>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</si>
  <si>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07 0 00 88880</t>
  </si>
  <si>
    <t>Реализация мероприятий по ликвидации несанкционированных свалок и навалов мусора</t>
  </si>
  <si>
    <t>Участие в мероприятиях по пропаганде экологически безопасного обращения с отходами</t>
  </si>
  <si>
    <t>07 0 00 88860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</si>
  <si>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</si>
  <si>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 xml:space="preserve">Предоставление субсидий бюджетным, автономным учреждениям и иным некоммерческим организациям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</si>
  <si>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</si>
  <si>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</si>
  <si>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</si>
  <si>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</si>
  <si>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</si>
  <si>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</si>
  <si>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</si>
  <si>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</si>
  <si>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</si>
  <si>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</si>
  <si>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</si>
  <si>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</si>
  <si>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</si>
  <si>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</si>
  <si>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</si>
  <si>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</si>
  <si>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</si>
  <si>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</si>
  <si>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</si>
  <si>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</si>
  <si>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</si>
  <si>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</si>
  <si>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</si>
  <si>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</si>
  <si>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</si>
  <si>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</si>
  <si>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</si>
  <si>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</si>
  <si>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</si>
  <si>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</si>
  <si>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</si>
  <si>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</si>
  <si>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</si>
  <si>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</si>
  <si>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</si>
  <si>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</si>
  <si>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03 2 E4 S2770</t>
  </si>
  <si>
    <t>03 2 E4 S2780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</si>
  <si>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</si>
  <si>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</si>
  <si>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</si>
  <si>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</si>
  <si>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</si>
  <si>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</si>
  <si>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</si>
  <si>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</si>
  <si>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</si>
  <si>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</si>
  <si>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18 1 F2 S2740</t>
  </si>
  <si>
    <t>10 3 00 00690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</si>
  <si>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</si>
  <si>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18 1 F2 11300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</si>
  <si>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</si>
  <si>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</si>
  <si>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</si>
  <si>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3 E2 S2480</t>
  </si>
  <si>
    <t>Организация безбарьерного доступа в подъезды многоквартирных домов</t>
  </si>
  <si>
    <t>23 0 00 88870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</si>
  <si>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</si>
  <si>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05 2 P5 S2610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</si>
  <si>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</si>
  <si>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</si>
  <si>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</si>
  <si>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</si>
  <si>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</si>
  <si>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</si>
  <si>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</si>
  <si>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</si>
  <si>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</si>
  <si>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22 0 00 87760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</si>
  <si>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</si>
  <si>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</si>
  <si>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</si>
  <si>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</si>
  <si>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</si>
  <si>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</si>
  <si>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02 3 А1 S0480</t>
  </si>
  <si>
    <t>03 2 D2 80600</t>
  </si>
  <si>
    <t>03 2 D2 S0600</t>
  </si>
  <si>
    <t>03 2 Е1 S4480</t>
  </si>
  <si>
    <t>03 2 E1 S4260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</si>
  <si>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</si>
  <si>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</si>
  <si>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</si>
  <si>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</si>
  <si>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</si>
  <si>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</si>
  <si>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</si>
  <si>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</si>
  <si>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</si>
  <si>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</si>
  <si>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</si>
  <si>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</si>
  <si>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</si>
  <si>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02 3 00 88850</t>
  </si>
  <si>
    <t>10 3 00 61430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</si>
  <si>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</si>
  <si>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</si>
  <si>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</si>
  <si>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03 1 00 65010</t>
  </si>
  <si>
    <t>03 2 00 65010</t>
  </si>
  <si>
    <t>Субсидия на устройство контейнерных площадок</t>
  </si>
  <si>
    <t>18 1 00 S1670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</si>
  <si>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</si>
  <si>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</si>
  <si>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</si>
  <si>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</si>
  <si>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</si>
  <si>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</si>
  <si>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</si>
  <si>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17 0 00 S0650</t>
  </si>
  <si>
    <t>17 0 00 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</si>
  <si>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</si>
  <si>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</si>
  <si>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</si>
  <si>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</si>
  <si>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</si>
  <si>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340</t>
  </si>
  <si>
    <t>350</t>
  </si>
  <si>
    <t>Стипендии</t>
  </si>
  <si>
    <t>Премии и гранты</t>
  </si>
  <si>
    <t xml:space="preserve">Субсидия на реализацию мероприятий федеральной целевой программы «Увековечение памяти погибших при защите Отечества на 2019 - 2024 годы» </t>
  </si>
  <si>
    <t>08 6 00 00000</t>
  </si>
  <si>
    <t>08 6 00 S299F</t>
  </si>
  <si>
    <t>Расходы на строительство и реконструкцию объектов коммунальной инфраструктуры</t>
  </si>
  <si>
    <t>10 3 00 84080</t>
  </si>
  <si>
    <t>УТВЕРЖДЕНО</t>
  </si>
  <si>
    <t>ИСПОЛНЕНО</t>
  </si>
  <si>
    <t>% исполнения</t>
  </si>
  <si>
    <t>Исполнение бюджета Сергиево-Посадского муниципального района  по расходам за 2019 год</t>
  </si>
  <si>
    <t xml:space="preserve">Сергиево-Посадского </t>
  </si>
  <si>
    <t>городского округа</t>
  </si>
  <si>
    <t>к решению Совета депутатов</t>
  </si>
  <si>
    <t>от ____________ №_______</t>
  </si>
  <si>
    <t>Приложение №2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</si>
</sst>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#,##0.00;[Red]\-##,##0.00;0.00;@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74" fontId="7" fillId="0" borderId="11" xfId="0" applyNumberFormat="1" applyFont="1" applyFill="1" applyBorder="1" applyAlignment="1">
      <alignment wrapText="1"/>
    </xf>
    <xf numFmtId="0" fontId="17" fillId="0" borderId="0" xfId="53">
      <alignment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5" fillId="33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01"/>
  <sheetViews>
    <sheetView tabSelected="1" view="pageBreakPreview" zoomScale="140" zoomScaleNormal="140" zoomScaleSheetLayoutView="140" workbookViewId="0" topLeftCell="A1108">
      <selection activeCell="A1068" sqref="A1068"/>
    </sheetView>
  </sheetViews>
  <sheetFormatPr defaultColWidth="9.00390625" defaultRowHeight="12.75"/>
  <cols>
    <col min="1" max="1" width="55.875" style="0" customWidth="1"/>
    <col min="2" max="2" width="10.00390625" style="0" customWidth="1"/>
    <col min="3" max="3" width="14.875" style="0" customWidth="1"/>
    <col min="4" max="4" width="8.625" style="0" customWidth="1"/>
    <col min="5" max="5" width="14.00390625" style="0" customWidth="1"/>
    <col min="6" max="6" width="13.625" style="0" customWidth="1"/>
    <col min="7" max="7" width="12.125" style="0" customWidth="1"/>
    <col min="8" max="8" width="13.125" style="0" customWidth="1"/>
    <col min="9" max="9" width="10.00390625" style="0" customWidth="1"/>
  </cols>
  <sheetData>
    <row r="1" spans="1:6" ht="12.75">
      <c r="A1" s="111"/>
      <c r="B1" s="111"/>
      <c r="C1" s="111"/>
      <c r="D1" s="111"/>
      <c r="E1" s="111"/>
      <c r="F1" s="111"/>
    </row>
    <row r="2" spans="1:6" ht="15">
      <c r="A2" s="29"/>
      <c r="B2" s="29"/>
      <c r="C2" s="29"/>
      <c r="D2" s="29"/>
      <c r="E2" s="110"/>
      <c r="F2" s="29"/>
    </row>
    <row r="3" spans="1:6" ht="15">
      <c r="A3" s="29"/>
      <c r="B3" s="29"/>
      <c r="C3" s="29"/>
      <c r="D3" s="29"/>
      <c r="E3" s="29"/>
      <c r="F3" s="29"/>
    </row>
    <row r="4" spans="1:9" ht="15.75">
      <c r="A4" s="29"/>
      <c r="B4" s="29"/>
      <c r="C4" s="29"/>
      <c r="D4" s="29"/>
      <c r="E4" s="29"/>
      <c r="F4" s="29"/>
      <c r="G4" s="125" t="s">
        <v>767</v>
      </c>
      <c r="H4" s="124"/>
      <c r="I4" s="118"/>
    </row>
    <row r="5" spans="1:9" ht="15.75">
      <c r="A5" s="29"/>
      <c r="B5" s="29"/>
      <c r="C5" s="29"/>
      <c r="D5" s="29"/>
      <c r="E5" s="110"/>
      <c r="F5" s="29"/>
      <c r="G5" s="125" t="s">
        <v>765</v>
      </c>
      <c r="H5" s="124"/>
      <c r="I5" s="118"/>
    </row>
    <row r="6" spans="1:9" ht="15.75">
      <c r="A6" s="29"/>
      <c r="B6" s="29"/>
      <c r="C6" s="29"/>
      <c r="D6" s="29"/>
      <c r="E6" s="29"/>
      <c r="F6" s="29"/>
      <c r="G6" s="125" t="s">
        <v>763</v>
      </c>
      <c r="H6" s="124"/>
      <c r="I6" s="118"/>
    </row>
    <row r="7" spans="1:9" ht="15.75">
      <c r="A7" s="29"/>
      <c r="B7" s="29"/>
      <c r="C7" s="29"/>
      <c r="D7" s="29"/>
      <c r="E7" s="29"/>
      <c r="F7" s="29"/>
      <c r="G7" s="125" t="s">
        <v>764</v>
      </c>
      <c r="H7" s="124"/>
      <c r="I7" s="118"/>
    </row>
    <row r="8" spans="1:9" ht="15.75">
      <c r="A8" s="29"/>
      <c r="B8" s="29"/>
      <c r="C8" s="29"/>
      <c r="D8" s="29"/>
      <c r="E8" s="29"/>
      <c r="F8" s="29"/>
      <c r="G8" s="125" t="s">
        <v>49</v>
      </c>
      <c r="H8" s="124"/>
      <c r="I8" s="118"/>
    </row>
    <row r="9" spans="1:9" ht="15.75">
      <c r="A9" s="29"/>
      <c r="B9" s="29"/>
      <c r="C9" s="29"/>
      <c r="D9" s="29"/>
      <c r="E9" s="29"/>
      <c r="F9" s="29"/>
      <c r="G9" s="126" t="s">
        <v>766</v>
      </c>
      <c r="H9" s="124"/>
      <c r="I9" s="118"/>
    </row>
    <row r="10" spans="1:6" ht="15">
      <c r="A10" s="29"/>
      <c r="B10" s="29"/>
      <c r="C10" s="29"/>
      <c r="D10" s="29"/>
      <c r="E10" s="29"/>
      <c r="F10" s="29"/>
    </row>
    <row r="11" spans="1:6" ht="50.25" customHeight="1">
      <c r="A11" s="29"/>
      <c r="B11" s="29"/>
      <c r="C11" s="29"/>
      <c r="D11" s="29"/>
      <c r="E11" s="29"/>
      <c r="F11" s="29"/>
    </row>
    <row r="12" spans="1:9" ht="18.75" customHeight="1">
      <c r="A12" s="132" t="s">
        <v>762</v>
      </c>
      <c r="B12" s="132"/>
      <c r="C12" s="132"/>
      <c r="D12" s="132"/>
      <c r="E12" s="132"/>
      <c r="F12" s="132"/>
      <c r="G12" s="132"/>
      <c r="H12" s="132"/>
      <c r="I12" s="133"/>
    </row>
    <row r="13" spans="1:6" ht="11.25" customHeight="1">
      <c r="A13" s="29"/>
      <c r="B13" s="29"/>
      <c r="C13" s="29"/>
      <c r="D13" s="29"/>
      <c r="E13" s="29"/>
      <c r="F13" s="29"/>
    </row>
    <row r="14" spans="1:9" ht="15">
      <c r="A14" s="29"/>
      <c r="B14" s="29"/>
      <c r="C14" s="29"/>
      <c r="D14" s="29"/>
      <c r="E14" s="29"/>
      <c r="F14" s="30"/>
      <c r="I14" s="30" t="s">
        <v>57</v>
      </c>
    </row>
    <row r="15" spans="1:9" s="1" customFormat="1" ht="18.75" customHeight="1">
      <c r="A15" s="127" t="s">
        <v>84</v>
      </c>
      <c r="B15" s="129" t="s">
        <v>85</v>
      </c>
      <c r="C15" s="130"/>
      <c r="D15" s="131"/>
      <c r="E15" s="134" t="s">
        <v>759</v>
      </c>
      <c r="F15" s="135"/>
      <c r="G15" s="136" t="s">
        <v>760</v>
      </c>
      <c r="H15" s="137"/>
      <c r="I15" s="138"/>
    </row>
    <row r="16" spans="1:9" s="1" customFormat="1" ht="76.5" customHeight="1">
      <c r="A16" s="128"/>
      <c r="B16" s="31" t="s">
        <v>87</v>
      </c>
      <c r="C16" s="31" t="s">
        <v>88</v>
      </c>
      <c r="D16" s="31" t="s">
        <v>89</v>
      </c>
      <c r="E16" s="117" t="s">
        <v>86</v>
      </c>
      <c r="F16" s="31" t="s">
        <v>202</v>
      </c>
      <c r="G16" s="117" t="s">
        <v>86</v>
      </c>
      <c r="H16" s="31" t="s">
        <v>202</v>
      </c>
      <c r="I16" s="31" t="s">
        <v>761</v>
      </c>
    </row>
    <row r="17" spans="1:9" s="5" customFormat="1" ht="24.75" customHeight="1">
      <c r="A17" s="13" t="s">
        <v>133</v>
      </c>
      <c r="B17" s="14" t="s">
        <v>90</v>
      </c>
      <c r="C17" s="15"/>
      <c r="D17" s="14"/>
      <c r="E17" s="16">
        <f>E18+E41+E247+E110+E251+E25</f>
        <v>676738.6000000001</v>
      </c>
      <c r="F17" s="16">
        <f>F18+F41+F247+F110+F251+F25</f>
        <v>41724</v>
      </c>
      <c r="G17" s="16">
        <f>G18+G41+G247+G110+G251+G25</f>
        <v>662794.6000000001</v>
      </c>
      <c r="H17" s="16">
        <f>H18+H41+H247+H110+H251+H25</f>
        <v>41478</v>
      </c>
      <c r="I17" s="16">
        <f>G17/E17*100</f>
        <v>97.93952938401918</v>
      </c>
    </row>
    <row r="18" spans="1:9" s="1" customFormat="1" ht="30" customHeight="1">
      <c r="A18" s="32" t="s">
        <v>65</v>
      </c>
      <c r="B18" s="62" t="s">
        <v>143</v>
      </c>
      <c r="C18" s="60"/>
      <c r="D18" s="60"/>
      <c r="E18" s="11">
        <f aca="true" t="shared" si="0" ref="E18:G23">E19</f>
        <v>4556.2</v>
      </c>
      <c r="F18" s="11"/>
      <c r="G18" s="11">
        <f t="shared" si="0"/>
        <v>4522</v>
      </c>
      <c r="H18" s="11"/>
      <c r="I18" s="16">
        <f>G18/E18*100</f>
        <v>99.24937447873228</v>
      </c>
    </row>
    <row r="19" spans="1:9" s="1" customFormat="1" ht="19.5" customHeight="1">
      <c r="A19" s="33" t="s">
        <v>238</v>
      </c>
      <c r="B19" s="34" t="s">
        <v>143</v>
      </c>
      <c r="C19" s="35" t="s">
        <v>20</v>
      </c>
      <c r="D19" s="36"/>
      <c r="E19" s="37">
        <f t="shared" si="0"/>
        <v>4556.2</v>
      </c>
      <c r="F19" s="9"/>
      <c r="G19" s="37">
        <f t="shared" si="0"/>
        <v>4522</v>
      </c>
      <c r="H19" s="9"/>
      <c r="I19" s="120"/>
    </row>
    <row r="20" spans="1:9" s="1" customFormat="1" ht="21.75" customHeight="1">
      <c r="A20" s="38" t="s">
        <v>41</v>
      </c>
      <c r="B20" s="34" t="s">
        <v>143</v>
      </c>
      <c r="C20" s="36" t="s">
        <v>21</v>
      </c>
      <c r="D20" s="36"/>
      <c r="E20" s="37">
        <f t="shared" si="0"/>
        <v>4556.2</v>
      </c>
      <c r="F20" s="9"/>
      <c r="G20" s="37">
        <f t="shared" si="0"/>
        <v>4522</v>
      </c>
      <c r="H20" s="9"/>
      <c r="I20" s="120"/>
    </row>
    <row r="21" spans="1:9" s="1" customFormat="1" ht="47.25" customHeight="1">
      <c r="A21" s="39" t="s">
        <v>166</v>
      </c>
      <c r="B21" s="34" t="s">
        <v>143</v>
      </c>
      <c r="C21" s="36" t="s">
        <v>22</v>
      </c>
      <c r="D21" s="36"/>
      <c r="E21" s="37">
        <f t="shared" si="0"/>
        <v>4556.2</v>
      </c>
      <c r="F21" s="37"/>
      <c r="G21" s="37">
        <f t="shared" si="0"/>
        <v>4522</v>
      </c>
      <c r="H21" s="37"/>
      <c r="I21" s="120"/>
    </row>
    <row r="22" spans="1:9" s="1" customFormat="1" ht="18" customHeight="1">
      <c r="A22" s="40" t="s">
        <v>144</v>
      </c>
      <c r="B22" s="34" t="s">
        <v>143</v>
      </c>
      <c r="C22" s="36" t="str">
        <f>$C$21</f>
        <v>12 5 00 01000</v>
      </c>
      <c r="D22" s="36"/>
      <c r="E22" s="37">
        <f t="shared" si="0"/>
        <v>4556.2</v>
      </c>
      <c r="F22" s="37"/>
      <c r="G22" s="37">
        <f t="shared" si="0"/>
        <v>4522</v>
      </c>
      <c r="H22" s="37"/>
      <c r="I22" s="120"/>
    </row>
    <row r="23" spans="1:9" s="1" customFormat="1" ht="57.75" customHeight="1">
      <c r="A23" s="40" t="s">
        <v>320</v>
      </c>
      <c r="B23" s="34" t="s">
        <v>143</v>
      </c>
      <c r="C23" s="36" t="str">
        <f>$C$22</f>
        <v>12 5 00 01000</v>
      </c>
      <c r="D23" s="36" t="s">
        <v>175</v>
      </c>
      <c r="E23" s="37">
        <f t="shared" si="0"/>
        <v>4556.2</v>
      </c>
      <c r="F23" s="37"/>
      <c r="G23" s="37">
        <f t="shared" si="0"/>
        <v>4522</v>
      </c>
      <c r="H23" s="37"/>
      <c r="I23" s="120"/>
    </row>
    <row r="24" spans="1:9" s="1" customFormat="1" ht="21" customHeight="1">
      <c r="A24" s="40" t="s">
        <v>168</v>
      </c>
      <c r="B24" s="34" t="s">
        <v>143</v>
      </c>
      <c r="C24" s="36" t="str">
        <f>$C$22</f>
        <v>12 5 00 01000</v>
      </c>
      <c r="D24" s="36" t="s">
        <v>167</v>
      </c>
      <c r="E24" s="37">
        <f>3731+800+310.2+1000-1300+15</f>
        <v>4556.2</v>
      </c>
      <c r="F24" s="37"/>
      <c r="G24" s="37">
        <v>4522</v>
      </c>
      <c r="H24" s="37"/>
      <c r="I24" s="120"/>
    </row>
    <row r="25" spans="1:9" s="1" customFormat="1" ht="59.25" customHeight="1">
      <c r="A25" s="32" t="s">
        <v>230</v>
      </c>
      <c r="B25" s="62" t="s">
        <v>231</v>
      </c>
      <c r="C25" s="60"/>
      <c r="D25" s="60"/>
      <c r="E25" s="11">
        <f>E26</f>
        <v>2664.2000000000003</v>
      </c>
      <c r="F25" s="11"/>
      <c r="G25" s="11">
        <f>G26</f>
        <v>2626</v>
      </c>
      <c r="H25" s="11"/>
      <c r="I25" s="16">
        <f>G25/E25*100</f>
        <v>98.56617371068236</v>
      </c>
    </row>
    <row r="26" spans="1:9" s="1" customFormat="1" ht="47.25" customHeight="1">
      <c r="A26" s="39" t="s">
        <v>166</v>
      </c>
      <c r="B26" s="34" t="s">
        <v>231</v>
      </c>
      <c r="C26" s="36" t="s">
        <v>23</v>
      </c>
      <c r="D26" s="36"/>
      <c r="E26" s="37">
        <f>E27</f>
        <v>2664.2000000000003</v>
      </c>
      <c r="F26" s="37"/>
      <c r="G26" s="37">
        <f>G27</f>
        <v>2626</v>
      </c>
      <c r="H26" s="37"/>
      <c r="I26" s="120"/>
    </row>
    <row r="27" spans="1:9" s="1" customFormat="1" ht="21" customHeight="1">
      <c r="A27" s="39" t="s">
        <v>116</v>
      </c>
      <c r="B27" s="34" t="s">
        <v>231</v>
      </c>
      <c r="C27" s="36" t="s">
        <v>24</v>
      </c>
      <c r="D27" s="36"/>
      <c r="E27" s="37">
        <f>E28+E31+E38</f>
        <v>2664.2000000000003</v>
      </c>
      <c r="F27" s="37"/>
      <c r="G27" s="37">
        <f>G28+G31+G38</f>
        <v>2626</v>
      </c>
      <c r="H27" s="37"/>
      <c r="I27" s="120"/>
    </row>
    <row r="28" spans="1:9" s="1" customFormat="1" ht="21" customHeight="1">
      <c r="A28" s="39" t="s">
        <v>155</v>
      </c>
      <c r="B28" s="34" t="s">
        <v>231</v>
      </c>
      <c r="C28" s="36" t="s">
        <v>25</v>
      </c>
      <c r="D28" s="36"/>
      <c r="E28" s="37">
        <f>E29</f>
        <v>115</v>
      </c>
      <c r="F28" s="37"/>
      <c r="G28" s="37">
        <f>G29</f>
        <v>77</v>
      </c>
      <c r="H28" s="37"/>
      <c r="I28" s="120"/>
    </row>
    <row r="29" spans="1:9" s="1" customFormat="1" ht="60.75" customHeight="1">
      <c r="A29" s="39" t="s">
        <v>320</v>
      </c>
      <c r="B29" s="34" t="s">
        <v>231</v>
      </c>
      <c r="C29" s="36" t="s">
        <v>25</v>
      </c>
      <c r="D29" s="36" t="s">
        <v>175</v>
      </c>
      <c r="E29" s="37">
        <f>E30</f>
        <v>115</v>
      </c>
      <c r="F29" s="37"/>
      <c r="G29" s="37">
        <f>G30</f>
        <v>77</v>
      </c>
      <c r="H29" s="37"/>
      <c r="I29" s="120"/>
    </row>
    <row r="30" spans="1:9" s="1" customFormat="1" ht="21" customHeight="1">
      <c r="A30" s="39" t="s">
        <v>168</v>
      </c>
      <c r="B30" s="34" t="s">
        <v>231</v>
      </c>
      <c r="C30" s="36" t="s">
        <v>25</v>
      </c>
      <c r="D30" s="36" t="s">
        <v>167</v>
      </c>
      <c r="E30" s="37">
        <f>47.6+67.4</f>
        <v>115</v>
      </c>
      <c r="F30" s="37"/>
      <c r="G30" s="37">
        <v>77</v>
      </c>
      <c r="H30" s="37"/>
      <c r="I30" s="120"/>
    </row>
    <row r="31" spans="1:9" s="1" customFormat="1" ht="34.5" customHeight="1">
      <c r="A31" s="39" t="s">
        <v>68</v>
      </c>
      <c r="B31" s="34" t="s">
        <v>231</v>
      </c>
      <c r="C31" s="36" t="s">
        <v>26</v>
      </c>
      <c r="D31" s="36"/>
      <c r="E31" s="37">
        <f>E32+E36+E34</f>
        <v>492</v>
      </c>
      <c r="F31" s="37"/>
      <c r="G31" s="37">
        <f>G32+G36+G34</f>
        <v>491.9</v>
      </c>
      <c r="H31" s="37"/>
      <c r="I31" s="120"/>
    </row>
    <row r="32" spans="1:9" s="1" customFormat="1" ht="21" customHeight="1">
      <c r="A32" s="39" t="s">
        <v>170</v>
      </c>
      <c r="B32" s="34" t="s">
        <v>231</v>
      </c>
      <c r="C32" s="36" t="s">
        <v>26</v>
      </c>
      <c r="D32" s="36" t="s">
        <v>169</v>
      </c>
      <c r="E32" s="37">
        <f>E33</f>
        <v>231.1</v>
      </c>
      <c r="F32" s="37"/>
      <c r="G32" s="37">
        <f>G33</f>
        <v>231.1</v>
      </c>
      <c r="H32" s="37"/>
      <c r="I32" s="120"/>
    </row>
    <row r="33" spans="1:9" s="1" customFormat="1" ht="32.25" customHeight="1">
      <c r="A33" s="39" t="s">
        <v>172</v>
      </c>
      <c r="B33" s="34" t="s">
        <v>231</v>
      </c>
      <c r="C33" s="36" t="s">
        <v>26</v>
      </c>
      <c r="D33" s="36" t="s">
        <v>171</v>
      </c>
      <c r="E33" s="37">
        <f>200+31.1</f>
        <v>231.1</v>
      </c>
      <c r="F33" s="37"/>
      <c r="G33" s="37">
        <v>231.1</v>
      </c>
      <c r="H33" s="37"/>
      <c r="I33" s="120"/>
    </row>
    <row r="34" spans="1:9" s="1" customFormat="1" ht="27" customHeight="1">
      <c r="A34" s="43" t="s">
        <v>42</v>
      </c>
      <c r="B34" s="34" t="s">
        <v>231</v>
      </c>
      <c r="C34" s="36" t="s">
        <v>26</v>
      </c>
      <c r="D34" s="36" t="s">
        <v>336</v>
      </c>
      <c r="E34" s="37">
        <f>E35</f>
        <v>255</v>
      </c>
      <c r="F34" s="37"/>
      <c r="G34" s="37">
        <f>G35</f>
        <v>255</v>
      </c>
      <c r="H34" s="37"/>
      <c r="I34" s="120"/>
    </row>
    <row r="35" spans="1:9" s="1" customFormat="1" ht="32.25" customHeight="1">
      <c r="A35" s="48" t="s">
        <v>54</v>
      </c>
      <c r="B35" s="34" t="s">
        <v>231</v>
      </c>
      <c r="C35" s="36" t="s">
        <v>26</v>
      </c>
      <c r="D35" s="36" t="s">
        <v>53</v>
      </c>
      <c r="E35" s="37">
        <v>255</v>
      </c>
      <c r="F35" s="37"/>
      <c r="G35" s="37">
        <v>255</v>
      </c>
      <c r="H35" s="37"/>
      <c r="I35" s="120"/>
    </row>
    <row r="36" spans="1:9" s="1" customFormat="1" ht="24" customHeight="1">
      <c r="A36" s="43" t="s">
        <v>174</v>
      </c>
      <c r="B36" s="34" t="s">
        <v>231</v>
      </c>
      <c r="C36" s="36" t="s">
        <v>26</v>
      </c>
      <c r="D36" s="36" t="s">
        <v>173</v>
      </c>
      <c r="E36" s="37">
        <f>E37</f>
        <v>5.9</v>
      </c>
      <c r="F36" s="37"/>
      <c r="G36" s="37">
        <f>G37</f>
        <v>5.8</v>
      </c>
      <c r="H36" s="37"/>
      <c r="I36" s="120"/>
    </row>
    <row r="37" spans="1:9" s="1" customFormat="1" ht="24" customHeight="1">
      <c r="A37" s="43" t="s">
        <v>324</v>
      </c>
      <c r="B37" s="34" t="s">
        <v>231</v>
      </c>
      <c r="C37" s="36" t="s">
        <v>26</v>
      </c>
      <c r="D37" s="36" t="s">
        <v>323</v>
      </c>
      <c r="E37" s="37">
        <f>4+1.9</f>
        <v>5.9</v>
      </c>
      <c r="F37" s="37"/>
      <c r="G37" s="37">
        <v>5.8</v>
      </c>
      <c r="H37" s="37"/>
      <c r="I37" s="120"/>
    </row>
    <row r="38" spans="1:9" s="1" customFormat="1" ht="45" customHeight="1">
      <c r="A38" s="43" t="s">
        <v>724</v>
      </c>
      <c r="B38" s="34" t="s">
        <v>231</v>
      </c>
      <c r="C38" s="36" t="s">
        <v>723</v>
      </c>
      <c r="D38" s="36"/>
      <c r="E38" s="37">
        <f>E39</f>
        <v>2057.2000000000003</v>
      </c>
      <c r="F38" s="37"/>
      <c r="G38" s="37">
        <f>G39</f>
        <v>2057.1</v>
      </c>
      <c r="H38" s="37"/>
      <c r="I38" s="120"/>
    </row>
    <row r="39" spans="1:9" s="1" customFormat="1" ht="61.5" customHeight="1">
      <c r="A39" s="39" t="s">
        <v>320</v>
      </c>
      <c r="B39" s="34" t="s">
        <v>231</v>
      </c>
      <c r="C39" s="36" t="s">
        <v>723</v>
      </c>
      <c r="D39" s="36" t="s">
        <v>175</v>
      </c>
      <c r="E39" s="37">
        <f>E40</f>
        <v>2057.2000000000003</v>
      </c>
      <c r="F39" s="37"/>
      <c r="G39" s="37">
        <f>G40</f>
        <v>2057.1</v>
      </c>
      <c r="H39" s="37"/>
      <c r="I39" s="120"/>
    </row>
    <row r="40" spans="1:9" s="1" customFormat="1" ht="24" customHeight="1">
      <c r="A40" s="39" t="s">
        <v>168</v>
      </c>
      <c r="B40" s="34" t="s">
        <v>231</v>
      </c>
      <c r="C40" s="36" t="s">
        <v>723</v>
      </c>
      <c r="D40" s="36" t="s">
        <v>167</v>
      </c>
      <c r="E40" s="37">
        <f>1301.9+22+440+293.3</f>
        <v>2057.2000000000003</v>
      </c>
      <c r="F40" s="37"/>
      <c r="G40" s="37">
        <v>2057.1</v>
      </c>
      <c r="H40" s="37"/>
      <c r="I40" s="120"/>
    </row>
    <row r="41" spans="1:9" s="1" customFormat="1" ht="47.25" customHeight="1">
      <c r="A41" s="46" t="s">
        <v>60</v>
      </c>
      <c r="B41" s="60" t="s">
        <v>109</v>
      </c>
      <c r="C41" s="60"/>
      <c r="D41" s="60"/>
      <c r="E41" s="11">
        <f>E46+E42</f>
        <v>293994.2</v>
      </c>
      <c r="F41" s="11">
        <f>F46</f>
        <v>0</v>
      </c>
      <c r="G41" s="11">
        <f>G46+G42</f>
        <v>286695.8</v>
      </c>
      <c r="H41" s="11">
        <f>H46</f>
        <v>0</v>
      </c>
      <c r="I41" s="16">
        <f>G41/E41*100</f>
        <v>97.51750204595872</v>
      </c>
    </row>
    <row r="42" spans="1:9" s="1" customFormat="1" ht="78" customHeight="1">
      <c r="A42" s="33" t="s">
        <v>257</v>
      </c>
      <c r="B42" s="36" t="s">
        <v>109</v>
      </c>
      <c r="C42" s="34" t="s">
        <v>234</v>
      </c>
      <c r="D42" s="60"/>
      <c r="E42" s="37">
        <f>E43</f>
        <v>17780.600000000002</v>
      </c>
      <c r="F42" s="11"/>
      <c r="G42" s="37">
        <f>G43</f>
        <v>16299.6</v>
      </c>
      <c r="H42" s="11"/>
      <c r="I42" s="120"/>
    </row>
    <row r="43" spans="1:9" s="1" customFormat="1" ht="30.75" customHeight="1">
      <c r="A43" s="43" t="s">
        <v>233</v>
      </c>
      <c r="B43" s="36" t="s">
        <v>109</v>
      </c>
      <c r="C43" s="34" t="s">
        <v>232</v>
      </c>
      <c r="D43" s="60"/>
      <c r="E43" s="37">
        <f>E44</f>
        <v>17780.600000000002</v>
      </c>
      <c r="F43" s="11"/>
      <c r="G43" s="37">
        <f>G44</f>
        <v>16299.6</v>
      </c>
      <c r="H43" s="11"/>
      <c r="I43" s="120"/>
    </row>
    <row r="44" spans="1:9" s="1" customFormat="1" ht="26.25" customHeight="1">
      <c r="A44" s="43" t="s">
        <v>170</v>
      </c>
      <c r="B44" s="36" t="s">
        <v>109</v>
      </c>
      <c r="C44" s="34" t="s">
        <v>232</v>
      </c>
      <c r="D44" s="36" t="s">
        <v>169</v>
      </c>
      <c r="E44" s="37">
        <f>E45</f>
        <v>17780.600000000002</v>
      </c>
      <c r="F44" s="11"/>
      <c r="G44" s="37">
        <f>G45</f>
        <v>16299.6</v>
      </c>
      <c r="H44" s="11"/>
      <c r="I44" s="120"/>
    </row>
    <row r="45" spans="1:9" s="1" customFormat="1" ht="33" customHeight="1">
      <c r="A45" s="43" t="s">
        <v>172</v>
      </c>
      <c r="B45" s="36" t="s">
        <v>109</v>
      </c>
      <c r="C45" s="34" t="s">
        <v>232</v>
      </c>
      <c r="D45" s="36" t="s">
        <v>171</v>
      </c>
      <c r="E45" s="37">
        <f>693+21064.7-119-1500-348.1-2010</f>
        <v>17780.600000000002</v>
      </c>
      <c r="F45" s="11"/>
      <c r="G45" s="37">
        <v>16299.6</v>
      </c>
      <c r="H45" s="11"/>
      <c r="I45" s="120"/>
    </row>
    <row r="46" spans="1:9" s="1" customFormat="1" ht="46.5" customHeight="1">
      <c r="A46" s="39" t="s">
        <v>166</v>
      </c>
      <c r="B46" s="36" t="s">
        <v>109</v>
      </c>
      <c r="C46" s="34" t="s">
        <v>20</v>
      </c>
      <c r="D46" s="36"/>
      <c r="E46" s="37">
        <f>E52+E47</f>
        <v>276213.60000000003</v>
      </c>
      <c r="F46" s="37">
        <f>F52+F47</f>
        <v>0</v>
      </c>
      <c r="G46" s="37">
        <f>G52+G47</f>
        <v>270396.2</v>
      </c>
      <c r="H46" s="37">
        <f>H52+H47</f>
        <v>0</v>
      </c>
      <c r="I46" s="120"/>
    </row>
    <row r="47" spans="1:9" s="1" customFormat="1" ht="24.75" customHeight="1">
      <c r="A47" s="33" t="s">
        <v>238</v>
      </c>
      <c r="B47" s="36" t="s">
        <v>109</v>
      </c>
      <c r="C47" s="34" t="str">
        <f>$C$46</f>
        <v>12 0 00 00000</v>
      </c>
      <c r="D47" s="36"/>
      <c r="E47" s="37">
        <f>E48</f>
        <v>525</v>
      </c>
      <c r="F47" s="37">
        <f>F48</f>
        <v>0</v>
      </c>
      <c r="G47" s="37">
        <f>G48</f>
        <v>377.9</v>
      </c>
      <c r="H47" s="37">
        <f>H48</f>
        <v>0</v>
      </c>
      <c r="I47" s="120"/>
    </row>
    <row r="48" spans="1:9" s="1" customFormat="1" ht="48.75" customHeight="1">
      <c r="A48" s="33" t="s">
        <v>303</v>
      </c>
      <c r="B48" s="36" t="s">
        <v>109</v>
      </c>
      <c r="C48" s="34" t="s">
        <v>27</v>
      </c>
      <c r="D48" s="36"/>
      <c r="E48" s="37">
        <f>E49</f>
        <v>525</v>
      </c>
      <c r="F48" s="47"/>
      <c r="G48" s="37">
        <f>G49</f>
        <v>377.9</v>
      </c>
      <c r="H48" s="47"/>
      <c r="I48" s="120"/>
    </row>
    <row r="49" spans="1:9" s="1" customFormat="1" ht="48.75" customHeight="1">
      <c r="A49" s="33" t="s">
        <v>489</v>
      </c>
      <c r="B49" s="36" t="s">
        <v>109</v>
      </c>
      <c r="C49" s="34" t="s">
        <v>28</v>
      </c>
      <c r="D49" s="36"/>
      <c r="E49" s="37">
        <f>E50</f>
        <v>525</v>
      </c>
      <c r="F49" s="47"/>
      <c r="G49" s="37">
        <f>G50</f>
        <v>377.9</v>
      </c>
      <c r="H49" s="47"/>
      <c r="I49" s="120"/>
    </row>
    <row r="50" spans="1:9" s="1" customFormat="1" ht="22.5" customHeight="1">
      <c r="A50" s="43" t="s">
        <v>170</v>
      </c>
      <c r="B50" s="36" t="s">
        <v>109</v>
      </c>
      <c r="C50" s="34" t="s">
        <v>28</v>
      </c>
      <c r="D50" s="36" t="s">
        <v>169</v>
      </c>
      <c r="E50" s="37">
        <f>E51</f>
        <v>525</v>
      </c>
      <c r="F50" s="47"/>
      <c r="G50" s="37">
        <f>G51</f>
        <v>377.9</v>
      </c>
      <c r="H50" s="47"/>
      <c r="I50" s="120"/>
    </row>
    <row r="51" spans="1:9" s="1" customFormat="1" ht="30" customHeight="1">
      <c r="A51" s="43" t="s">
        <v>172</v>
      </c>
      <c r="B51" s="36" t="s">
        <v>109</v>
      </c>
      <c r="C51" s="34" t="s">
        <v>28</v>
      </c>
      <c r="D51" s="36" t="s">
        <v>171</v>
      </c>
      <c r="E51" s="37">
        <f>450+75</f>
        <v>525</v>
      </c>
      <c r="F51" s="47"/>
      <c r="G51" s="37">
        <v>377.9</v>
      </c>
      <c r="H51" s="47"/>
      <c r="I51" s="120"/>
    </row>
    <row r="52" spans="1:9" s="1" customFormat="1" ht="24" customHeight="1">
      <c r="A52" s="33" t="s">
        <v>238</v>
      </c>
      <c r="B52" s="36" t="s">
        <v>109</v>
      </c>
      <c r="C52" s="35" t="s">
        <v>20</v>
      </c>
      <c r="D52" s="36"/>
      <c r="E52" s="37">
        <f>E53</f>
        <v>275688.60000000003</v>
      </c>
      <c r="F52" s="9"/>
      <c r="G52" s="37">
        <f>G53</f>
        <v>270018.3</v>
      </c>
      <c r="H52" s="9"/>
      <c r="I52" s="120"/>
    </row>
    <row r="53" spans="1:9" s="1" customFormat="1" ht="21" customHeight="1">
      <c r="A53" s="38" t="s">
        <v>41</v>
      </c>
      <c r="B53" s="36" t="s">
        <v>109</v>
      </c>
      <c r="C53" s="35" t="s">
        <v>21</v>
      </c>
      <c r="D53" s="36"/>
      <c r="E53" s="37">
        <f>E54+E69+E74</f>
        <v>275688.60000000003</v>
      </c>
      <c r="F53" s="9"/>
      <c r="G53" s="37">
        <f>G54+G69+G74</f>
        <v>270018.3</v>
      </c>
      <c r="H53" s="9"/>
      <c r="I53" s="120"/>
    </row>
    <row r="54" spans="1:9" s="1" customFormat="1" ht="18.75" customHeight="1">
      <c r="A54" s="48" t="s">
        <v>116</v>
      </c>
      <c r="B54" s="36" t="s">
        <v>109</v>
      </c>
      <c r="C54" s="36" t="s">
        <v>29</v>
      </c>
      <c r="D54" s="36"/>
      <c r="E54" s="37">
        <f>E55+E58+E61+E66</f>
        <v>274386.30000000005</v>
      </c>
      <c r="F54" s="37">
        <f>F55+F58+F61</f>
        <v>0</v>
      </c>
      <c r="G54" s="37">
        <f>G55+G58+G61+G66</f>
        <v>269831.2</v>
      </c>
      <c r="H54" s="37">
        <f>H55+H58+H61</f>
        <v>0</v>
      </c>
      <c r="I54" s="120"/>
    </row>
    <row r="55" spans="1:9" s="1" customFormat="1" ht="19.5" customHeight="1">
      <c r="A55" s="43" t="s">
        <v>154</v>
      </c>
      <c r="B55" s="36" t="s">
        <v>109</v>
      </c>
      <c r="C55" s="36" t="s">
        <v>30</v>
      </c>
      <c r="D55" s="36"/>
      <c r="E55" s="37">
        <f>E56</f>
        <v>104681.70000000001</v>
      </c>
      <c r="F55" s="37"/>
      <c r="G55" s="37">
        <f>G56</f>
        <v>103658.4</v>
      </c>
      <c r="H55" s="37"/>
      <c r="I55" s="120"/>
    </row>
    <row r="56" spans="1:9" s="1" customFormat="1" ht="63.75" customHeight="1">
      <c r="A56" s="40" t="s">
        <v>320</v>
      </c>
      <c r="B56" s="36" t="s">
        <v>109</v>
      </c>
      <c r="C56" s="36" t="s">
        <v>30</v>
      </c>
      <c r="D56" s="36" t="s">
        <v>175</v>
      </c>
      <c r="E56" s="37">
        <f>E57</f>
        <v>104681.70000000001</v>
      </c>
      <c r="F56" s="37"/>
      <c r="G56" s="37">
        <f>G57</f>
        <v>103658.4</v>
      </c>
      <c r="H56" s="37"/>
      <c r="I56" s="120"/>
    </row>
    <row r="57" spans="1:9" s="1" customFormat="1" ht="24" customHeight="1">
      <c r="A57" s="40" t="s">
        <v>168</v>
      </c>
      <c r="B57" s="36" t="s">
        <v>109</v>
      </c>
      <c r="C57" s="36" t="s">
        <v>30</v>
      </c>
      <c r="D57" s="36" t="s">
        <v>167</v>
      </c>
      <c r="E57" s="37">
        <f>95286.8+7794+1235+2680.2+211.8-9.5-1-45.2-20.3-1333-19.8-82.4-115-1071.9-41+46+277-110</f>
        <v>104681.70000000001</v>
      </c>
      <c r="F57" s="37"/>
      <c r="G57" s="37">
        <v>103658.4</v>
      </c>
      <c r="H57" s="37"/>
      <c r="I57" s="120"/>
    </row>
    <row r="58" spans="1:9" s="1" customFormat="1" ht="21" customHeight="1">
      <c r="A58" s="43" t="s">
        <v>155</v>
      </c>
      <c r="B58" s="36" t="s">
        <v>109</v>
      </c>
      <c r="C58" s="36" t="s">
        <v>31</v>
      </c>
      <c r="D58" s="36"/>
      <c r="E58" s="37">
        <f>E59</f>
        <v>139045.00000000003</v>
      </c>
      <c r="F58" s="37"/>
      <c r="G58" s="37">
        <f>G59</f>
        <v>137586.4</v>
      </c>
      <c r="H58" s="37"/>
      <c r="I58" s="120"/>
    </row>
    <row r="59" spans="1:9" s="1" customFormat="1" ht="61.5" customHeight="1">
      <c r="A59" s="40" t="s">
        <v>320</v>
      </c>
      <c r="B59" s="36" t="s">
        <v>109</v>
      </c>
      <c r="C59" s="36" t="s">
        <v>31</v>
      </c>
      <c r="D59" s="36" t="s">
        <v>175</v>
      </c>
      <c r="E59" s="37">
        <f>E60</f>
        <v>139045.00000000003</v>
      </c>
      <c r="F59" s="37"/>
      <c r="G59" s="37">
        <f>G60</f>
        <v>137586.4</v>
      </c>
      <c r="H59" s="37"/>
      <c r="I59" s="120"/>
    </row>
    <row r="60" spans="1:9" s="1" customFormat="1" ht="21" customHeight="1">
      <c r="A60" s="40" t="s">
        <v>168</v>
      </c>
      <c r="B60" s="36" t="s">
        <v>109</v>
      </c>
      <c r="C60" s="36" t="s">
        <v>31</v>
      </c>
      <c r="D60" s="36" t="s">
        <v>167</v>
      </c>
      <c r="E60" s="37">
        <f>123289.3+200+6354.8+1086+6088.1+340.6+350+545+41.2+750</f>
        <v>139045.00000000003</v>
      </c>
      <c r="F60" s="37"/>
      <c r="G60" s="37">
        <v>137586.4</v>
      </c>
      <c r="H60" s="37"/>
      <c r="I60" s="120"/>
    </row>
    <row r="61" spans="1:9" s="1" customFormat="1" ht="33" customHeight="1">
      <c r="A61" s="43" t="s">
        <v>68</v>
      </c>
      <c r="B61" s="36" t="s">
        <v>109</v>
      </c>
      <c r="C61" s="36" t="s">
        <v>32</v>
      </c>
      <c r="D61" s="36"/>
      <c r="E61" s="37">
        <f>E62+E64</f>
        <v>30334.6</v>
      </c>
      <c r="F61" s="37"/>
      <c r="G61" s="37">
        <f>G62+G64</f>
        <v>28363</v>
      </c>
      <c r="H61" s="37"/>
      <c r="I61" s="120"/>
    </row>
    <row r="62" spans="1:9" s="1" customFormat="1" ht="21.75" customHeight="1">
      <c r="A62" s="43" t="s">
        <v>170</v>
      </c>
      <c r="B62" s="36" t="s">
        <v>109</v>
      </c>
      <c r="C62" s="36" t="s">
        <v>32</v>
      </c>
      <c r="D62" s="36" t="s">
        <v>169</v>
      </c>
      <c r="E62" s="37">
        <f>E63</f>
        <v>30181</v>
      </c>
      <c r="F62" s="37"/>
      <c r="G62" s="37">
        <f>G63</f>
        <v>28259.3</v>
      </c>
      <c r="H62" s="37"/>
      <c r="I62" s="120"/>
    </row>
    <row r="63" spans="1:9" s="1" customFormat="1" ht="29.25" customHeight="1">
      <c r="A63" s="43" t="s">
        <v>172</v>
      </c>
      <c r="B63" s="36" t="s">
        <v>109</v>
      </c>
      <c r="C63" s="36" t="s">
        <v>32</v>
      </c>
      <c r="D63" s="36" t="s">
        <v>171</v>
      </c>
      <c r="E63" s="37">
        <v>30181</v>
      </c>
      <c r="F63" s="37"/>
      <c r="G63" s="37">
        <v>28259.3</v>
      </c>
      <c r="H63" s="37"/>
      <c r="I63" s="120"/>
    </row>
    <row r="64" spans="1:9" s="1" customFormat="1" ht="21.75" customHeight="1">
      <c r="A64" s="43" t="s">
        <v>174</v>
      </c>
      <c r="B64" s="36" t="s">
        <v>109</v>
      </c>
      <c r="C64" s="36" t="str">
        <f>$C$63</f>
        <v>12 5 00 04990</v>
      </c>
      <c r="D64" s="36" t="s">
        <v>173</v>
      </c>
      <c r="E64" s="37">
        <f>E65</f>
        <v>153.6</v>
      </c>
      <c r="F64" s="37"/>
      <c r="G64" s="37">
        <f>G65</f>
        <v>103.7</v>
      </c>
      <c r="H64" s="37"/>
      <c r="I64" s="120"/>
    </row>
    <row r="65" spans="1:9" s="1" customFormat="1" ht="21.75" customHeight="1">
      <c r="A65" s="43" t="s">
        <v>324</v>
      </c>
      <c r="B65" s="36" t="s">
        <v>109</v>
      </c>
      <c r="C65" s="36" t="str">
        <f>$C$63</f>
        <v>12 5 00 04990</v>
      </c>
      <c r="D65" s="36" t="s">
        <v>323</v>
      </c>
      <c r="E65" s="37">
        <f>50+100+10-6.4</f>
        <v>153.6</v>
      </c>
      <c r="F65" s="37"/>
      <c r="G65" s="37">
        <v>103.7</v>
      </c>
      <c r="H65" s="37"/>
      <c r="I65" s="120"/>
    </row>
    <row r="66" spans="1:9" s="1" customFormat="1" ht="20.25" customHeight="1">
      <c r="A66" s="43" t="s">
        <v>453</v>
      </c>
      <c r="B66" s="36" t="s">
        <v>109</v>
      </c>
      <c r="C66" s="36" t="s">
        <v>454</v>
      </c>
      <c r="D66" s="36"/>
      <c r="E66" s="37">
        <f>E67</f>
        <v>325</v>
      </c>
      <c r="F66" s="37"/>
      <c r="G66" s="37">
        <f>G67</f>
        <v>223.4</v>
      </c>
      <c r="H66" s="37"/>
      <c r="I66" s="120"/>
    </row>
    <row r="67" spans="1:9" s="1" customFormat="1" ht="21.75" customHeight="1">
      <c r="A67" s="43" t="s">
        <v>170</v>
      </c>
      <c r="B67" s="36" t="s">
        <v>109</v>
      </c>
      <c r="C67" s="36" t="s">
        <v>454</v>
      </c>
      <c r="D67" s="36" t="s">
        <v>169</v>
      </c>
      <c r="E67" s="37">
        <f>E68</f>
        <v>325</v>
      </c>
      <c r="F67" s="37"/>
      <c r="G67" s="37">
        <f>G68</f>
        <v>223.4</v>
      </c>
      <c r="H67" s="37"/>
      <c r="I67" s="120"/>
    </row>
    <row r="68" spans="1:9" s="1" customFormat="1" ht="34.5" customHeight="1">
      <c r="A68" s="43" t="s">
        <v>172</v>
      </c>
      <c r="B68" s="36" t="s">
        <v>109</v>
      </c>
      <c r="C68" s="36" t="s">
        <v>454</v>
      </c>
      <c r="D68" s="36" t="s">
        <v>171</v>
      </c>
      <c r="E68" s="37">
        <f>300+25</f>
        <v>325</v>
      </c>
      <c r="F68" s="37"/>
      <c r="G68" s="37">
        <v>223.4</v>
      </c>
      <c r="H68" s="37"/>
      <c r="I68" s="120"/>
    </row>
    <row r="69" spans="1:9" s="1" customFormat="1" ht="76.5" customHeight="1">
      <c r="A69" s="55" t="s">
        <v>608</v>
      </c>
      <c r="B69" s="36" t="s">
        <v>109</v>
      </c>
      <c r="C69" s="45" t="s">
        <v>652</v>
      </c>
      <c r="D69" s="45"/>
      <c r="E69" s="50">
        <f>E72+E70</f>
        <v>804.2</v>
      </c>
      <c r="F69" s="50"/>
      <c r="G69" s="50">
        <f>G72+G70</f>
        <v>0</v>
      </c>
      <c r="H69" s="50"/>
      <c r="I69" s="120"/>
    </row>
    <row r="70" spans="1:9" s="1" customFormat="1" ht="62.25" customHeight="1">
      <c r="A70" s="40" t="s">
        <v>320</v>
      </c>
      <c r="B70" s="36" t="s">
        <v>109</v>
      </c>
      <c r="C70" s="45" t="s">
        <v>652</v>
      </c>
      <c r="D70" s="45" t="s">
        <v>175</v>
      </c>
      <c r="E70" s="50">
        <f>E71</f>
        <v>670.1</v>
      </c>
      <c r="F70" s="50"/>
      <c r="G70" s="50">
        <f>G71</f>
        <v>0</v>
      </c>
      <c r="H70" s="50"/>
      <c r="I70" s="120"/>
    </row>
    <row r="71" spans="1:9" s="1" customFormat="1" ht="21" customHeight="1">
      <c r="A71" s="40" t="s">
        <v>168</v>
      </c>
      <c r="B71" s="36" t="s">
        <v>109</v>
      </c>
      <c r="C71" s="45" t="s">
        <v>652</v>
      </c>
      <c r="D71" s="45" t="s">
        <v>167</v>
      </c>
      <c r="E71" s="50">
        <v>670.1</v>
      </c>
      <c r="F71" s="50"/>
      <c r="G71" s="50">
        <v>0</v>
      </c>
      <c r="H71" s="50"/>
      <c r="I71" s="120"/>
    </row>
    <row r="72" spans="1:9" s="1" customFormat="1" ht="20.25" customHeight="1">
      <c r="A72" s="43" t="s">
        <v>170</v>
      </c>
      <c r="B72" s="36" t="s">
        <v>109</v>
      </c>
      <c r="C72" s="45" t="s">
        <v>652</v>
      </c>
      <c r="D72" s="45" t="s">
        <v>169</v>
      </c>
      <c r="E72" s="50">
        <f>E73</f>
        <v>134.1</v>
      </c>
      <c r="F72" s="50"/>
      <c r="G72" s="50">
        <f>G73</f>
        <v>0</v>
      </c>
      <c r="H72" s="50"/>
      <c r="I72" s="120"/>
    </row>
    <row r="73" spans="1:9" s="1" customFormat="1" ht="31.5" customHeight="1">
      <c r="A73" s="43" t="s">
        <v>172</v>
      </c>
      <c r="B73" s="36" t="s">
        <v>109</v>
      </c>
      <c r="C73" s="45" t="s">
        <v>652</v>
      </c>
      <c r="D73" s="45" t="s">
        <v>171</v>
      </c>
      <c r="E73" s="50">
        <v>134.1</v>
      </c>
      <c r="F73" s="50"/>
      <c r="G73" s="50">
        <v>0</v>
      </c>
      <c r="H73" s="50"/>
      <c r="I73" s="120"/>
    </row>
    <row r="74" spans="1:9" s="1" customFormat="1" ht="63.75" customHeight="1">
      <c r="A74" s="55" t="s">
        <v>602</v>
      </c>
      <c r="B74" s="44" t="s">
        <v>109</v>
      </c>
      <c r="C74" s="44" t="s">
        <v>539</v>
      </c>
      <c r="D74" s="44"/>
      <c r="E74" s="47">
        <f>E75+E77</f>
        <v>498.0999999999999</v>
      </c>
      <c r="F74" s="109"/>
      <c r="G74" s="47">
        <f>G75+G77</f>
        <v>187.10000000000002</v>
      </c>
      <c r="H74" s="109"/>
      <c r="I74" s="120"/>
    </row>
    <row r="75" spans="1:9" s="1" customFormat="1" ht="63.75" customHeight="1">
      <c r="A75" s="55" t="s">
        <v>320</v>
      </c>
      <c r="B75" s="44" t="s">
        <v>109</v>
      </c>
      <c r="C75" s="44" t="s">
        <v>539</v>
      </c>
      <c r="D75" s="44" t="s">
        <v>175</v>
      </c>
      <c r="E75" s="47">
        <f>E76</f>
        <v>421.49999999999994</v>
      </c>
      <c r="F75" s="109"/>
      <c r="G75" s="47">
        <f>G76</f>
        <v>187.10000000000002</v>
      </c>
      <c r="H75" s="109"/>
      <c r="I75" s="120"/>
    </row>
    <row r="76" spans="1:9" s="1" customFormat="1" ht="23.25" customHeight="1">
      <c r="A76" s="55" t="s">
        <v>168</v>
      </c>
      <c r="B76" s="44" t="s">
        <v>109</v>
      </c>
      <c r="C76" s="44" t="s">
        <v>539</v>
      </c>
      <c r="D76" s="44" t="s">
        <v>167</v>
      </c>
      <c r="E76" s="47">
        <f>E96+E104+E86+E81+E109+E101+E91</f>
        <v>421.49999999999994</v>
      </c>
      <c r="F76" s="109"/>
      <c r="G76" s="47">
        <f>G96+G104+G86+G81+G109+G101+G91</f>
        <v>187.10000000000002</v>
      </c>
      <c r="H76" s="109"/>
      <c r="I76" s="120"/>
    </row>
    <row r="77" spans="1:9" s="1" customFormat="1" ht="21" customHeight="1">
      <c r="A77" s="55" t="s">
        <v>170</v>
      </c>
      <c r="B77" s="44" t="s">
        <v>109</v>
      </c>
      <c r="C77" s="44" t="s">
        <v>539</v>
      </c>
      <c r="D77" s="44" t="s">
        <v>169</v>
      </c>
      <c r="E77" s="47">
        <f>E78</f>
        <v>76.6</v>
      </c>
      <c r="F77" s="109"/>
      <c r="G77" s="47">
        <f>G78</f>
        <v>0</v>
      </c>
      <c r="H77" s="109"/>
      <c r="I77" s="120"/>
    </row>
    <row r="78" spans="1:9" s="1" customFormat="1" ht="31.5" customHeight="1">
      <c r="A78" s="55" t="s">
        <v>172</v>
      </c>
      <c r="B78" s="44" t="s">
        <v>109</v>
      </c>
      <c r="C78" s="44" t="s">
        <v>539</v>
      </c>
      <c r="D78" s="44" t="s">
        <v>171</v>
      </c>
      <c r="E78" s="47">
        <f>E88+E83+E106+E93+E98</f>
        <v>76.6</v>
      </c>
      <c r="F78" s="109"/>
      <c r="G78" s="47">
        <f>G88+G83+G106+G93+G98</f>
        <v>0</v>
      </c>
      <c r="H78" s="109"/>
      <c r="I78" s="120"/>
    </row>
    <row r="79" spans="1:9" s="1" customFormat="1" ht="75.75" customHeight="1">
      <c r="A79" s="55" t="s">
        <v>606</v>
      </c>
      <c r="B79" s="44" t="s">
        <v>109</v>
      </c>
      <c r="C79" s="44" t="s">
        <v>653</v>
      </c>
      <c r="D79" s="44"/>
      <c r="E79" s="47">
        <f>E80+E82</f>
        <v>123.89999999999999</v>
      </c>
      <c r="F79" s="80"/>
      <c r="G79" s="47">
        <f>G80+G82</f>
        <v>83.9</v>
      </c>
      <c r="H79" s="80"/>
      <c r="I79" s="120"/>
    </row>
    <row r="80" spans="1:9" s="1" customFormat="1" ht="61.5" customHeight="1">
      <c r="A80" s="55" t="s">
        <v>320</v>
      </c>
      <c r="B80" s="44" t="s">
        <v>109</v>
      </c>
      <c r="C80" s="44" t="s">
        <v>653</v>
      </c>
      <c r="D80" s="44" t="s">
        <v>175</v>
      </c>
      <c r="E80" s="47">
        <f>E81</f>
        <v>103.3</v>
      </c>
      <c r="F80" s="80"/>
      <c r="G80" s="47">
        <f>G81</f>
        <v>83.9</v>
      </c>
      <c r="H80" s="80"/>
      <c r="I80" s="120"/>
    </row>
    <row r="81" spans="1:9" s="1" customFormat="1" ht="23.25" customHeight="1">
      <c r="A81" s="55" t="s">
        <v>168</v>
      </c>
      <c r="B81" s="44" t="s">
        <v>109</v>
      </c>
      <c r="C81" s="44" t="s">
        <v>653</v>
      </c>
      <c r="D81" s="44" t="s">
        <v>167</v>
      </c>
      <c r="E81" s="47">
        <f>103.3</f>
        <v>103.3</v>
      </c>
      <c r="F81" s="80"/>
      <c r="G81" s="47">
        <v>83.9</v>
      </c>
      <c r="H81" s="80"/>
      <c r="I81" s="120"/>
    </row>
    <row r="82" spans="1:9" s="1" customFormat="1" ht="18.75" customHeight="1">
      <c r="A82" s="55" t="s">
        <v>170</v>
      </c>
      <c r="B82" s="44" t="s">
        <v>109</v>
      </c>
      <c r="C82" s="44" t="s">
        <v>653</v>
      </c>
      <c r="D82" s="44" t="s">
        <v>169</v>
      </c>
      <c r="E82" s="47">
        <f>E83</f>
        <v>20.599999999999998</v>
      </c>
      <c r="F82" s="80"/>
      <c r="G82" s="47">
        <f>G83</f>
        <v>0</v>
      </c>
      <c r="H82" s="80"/>
      <c r="I82" s="120"/>
    </row>
    <row r="83" spans="1:9" s="1" customFormat="1" ht="31.5" customHeight="1">
      <c r="A83" s="55" t="s">
        <v>172</v>
      </c>
      <c r="B83" s="44" t="s">
        <v>109</v>
      </c>
      <c r="C83" s="44" t="s">
        <v>653</v>
      </c>
      <c r="D83" s="44" t="s">
        <v>171</v>
      </c>
      <c r="E83" s="47">
        <f>2.9+17.7</f>
        <v>20.599999999999998</v>
      </c>
      <c r="F83" s="80"/>
      <c r="G83" s="47">
        <v>0</v>
      </c>
      <c r="H83" s="80"/>
      <c r="I83" s="120"/>
    </row>
    <row r="84" spans="1:9" s="1" customFormat="1" ht="73.5" customHeight="1">
      <c r="A84" s="55" t="s">
        <v>605</v>
      </c>
      <c r="B84" s="44" t="s">
        <v>109</v>
      </c>
      <c r="C84" s="44" t="s">
        <v>654</v>
      </c>
      <c r="D84" s="44"/>
      <c r="E84" s="47">
        <f>E85+E87</f>
        <v>123.9</v>
      </c>
      <c r="F84" s="80"/>
      <c r="G84" s="47">
        <f>G85+G87</f>
        <v>103.2</v>
      </c>
      <c r="H84" s="80"/>
      <c r="I84" s="120"/>
    </row>
    <row r="85" spans="1:9" s="1" customFormat="1" ht="60.75" customHeight="1">
      <c r="A85" s="55" t="s">
        <v>320</v>
      </c>
      <c r="B85" s="44" t="s">
        <v>109</v>
      </c>
      <c r="C85" s="44" t="s">
        <v>654</v>
      </c>
      <c r="D85" s="44" t="s">
        <v>175</v>
      </c>
      <c r="E85" s="47">
        <f>E86</f>
        <v>103.3</v>
      </c>
      <c r="F85" s="80"/>
      <c r="G85" s="47">
        <f>G86</f>
        <v>103.2</v>
      </c>
      <c r="H85" s="80"/>
      <c r="I85" s="120"/>
    </row>
    <row r="86" spans="1:9" s="1" customFormat="1" ht="24.75" customHeight="1">
      <c r="A86" s="55" t="s">
        <v>168</v>
      </c>
      <c r="B86" s="44" t="s">
        <v>109</v>
      </c>
      <c r="C86" s="44" t="s">
        <v>654</v>
      </c>
      <c r="D86" s="44" t="s">
        <v>167</v>
      </c>
      <c r="E86" s="47">
        <f>103.3</f>
        <v>103.3</v>
      </c>
      <c r="F86" s="80"/>
      <c r="G86" s="47">
        <v>103.2</v>
      </c>
      <c r="H86" s="80"/>
      <c r="I86" s="120"/>
    </row>
    <row r="87" spans="1:9" s="1" customFormat="1" ht="25.5" customHeight="1">
      <c r="A87" s="55" t="s">
        <v>170</v>
      </c>
      <c r="B87" s="44" t="s">
        <v>109</v>
      </c>
      <c r="C87" s="44" t="s">
        <v>654</v>
      </c>
      <c r="D87" s="44" t="s">
        <v>169</v>
      </c>
      <c r="E87" s="47">
        <f>E88</f>
        <v>20.6</v>
      </c>
      <c r="F87" s="80"/>
      <c r="G87" s="47">
        <f>G88</f>
        <v>0</v>
      </c>
      <c r="H87" s="80"/>
      <c r="I87" s="120"/>
    </row>
    <row r="88" spans="1:9" s="1" customFormat="1" ht="31.5" customHeight="1">
      <c r="A88" s="55" t="s">
        <v>172</v>
      </c>
      <c r="B88" s="44" t="s">
        <v>109</v>
      </c>
      <c r="C88" s="44" t="s">
        <v>654</v>
      </c>
      <c r="D88" s="44" t="s">
        <v>171</v>
      </c>
      <c r="E88" s="47">
        <f>20.6</f>
        <v>20.6</v>
      </c>
      <c r="F88" s="80"/>
      <c r="G88" s="47">
        <v>0</v>
      </c>
      <c r="H88" s="80"/>
      <c r="I88" s="120"/>
    </row>
    <row r="89" spans="1:9" s="1" customFormat="1" ht="74.25" customHeight="1">
      <c r="A89" s="55" t="s">
        <v>674</v>
      </c>
      <c r="B89" s="44" t="s">
        <v>109</v>
      </c>
      <c r="C89" s="44" t="s">
        <v>675</v>
      </c>
      <c r="D89" s="44"/>
      <c r="E89" s="47">
        <f>E90+E92</f>
        <v>123.9</v>
      </c>
      <c r="F89" s="80"/>
      <c r="G89" s="47">
        <f>G90+G92</f>
        <v>0</v>
      </c>
      <c r="H89" s="80"/>
      <c r="I89" s="120"/>
    </row>
    <row r="90" spans="1:9" s="1" customFormat="1" ht="31.5" customHeight="1">
      <c r="A90" s="55" t="s">
        <v>320</v>
      </c>
      <c r="B90" s="44" t="s">
        <v>109</v>
      </c>
      <c r="C90" s="44" t="s">
        <v>675</v>
      </c>
      <c r="D90" s="44" t="s">
        <v>175</v>
      </c>
      <c r="E90" s="47">
        <f>E91</f>
        <v>103.2</v>
      </c>
      <c r="F90" s="80"/>
      <c r="G90" s="47">
        <f>G91</f>
        <v>0</v>
      </c>
      <c r="H90" s="80"/>
      <c r="I90" s="120"/>
    </row>
    <row r="91" spans="1:9" s="1" customFormat="1" ht="27" customHeight="1">
      <c r="A91" s="55" t="s">
        <v>168</v>
      </c>
      <c r="B91" s="44" t="s">
        <v>109</v>
      </c>
      <c r="C91" s="44" t="s">
        <v>675</v>
      </c>
      <c r="D91" s="44" t="s">
        <v>167</v>
      </c>
      <c r="E91" s="47">
        <v>103.2</v>
      </c>
      <c r="F91" s="80"/>
      <c r="G91" s="47">
        <v>0</v>
      </c>
      <c r="H91" s="80"/>
      <c r="I91" s="120"/>
    </row>
    <row r="92" spans="1:9" s="1" customFormat="1" ht="22.5" customHeight="1">
      <c r="A92" s="55" t="s">
        <v>170</v>
      </c>
      <c r="B92" s="44" t="s">
        <v>109</v>
      </c>
      <c r="C92" s="44" t="s">
        <v>675</v>
      </c>
      <c r="D92" s="44" t="s">
        <v>169</v>
      </c>
      <c r="E92" s="47">
        <f>E93</f>
        <v>20.7</v>
      </c>
      <c r="F92" s="80"/>
      <c r="G92" s="47">
        <f>G93</f>
        <v>0</v>
      </c>
      <c r="H92" s="80"/>
      <c r="I92" s="120"/>
    </row>
    <row r="93" spans="1:9" s="1" customFormat="1" ht="31.5" customHeight="1">
      <c r="A93" s="55" t="s">
        <v>172</v>
      </c>
      <c r="B93" s="44" t="s">
        <v>109</v>
      </c>
      <c r="C93" s="44" t="s">
        <v>675</v>
      </c>
      <c r="D93" s="44" t="s">
        <v>171</v>
      </c>
      <c r="E93" s="47">
        <v>20.7</v>
      </c>
      <c r="F93" s="80"/>
      <c r="G93" s="47">
        <v>0</v>
      </c>
      <c r="H93" s="80"/>
      <c r="I93" s="120"/>
    </row>
    <row r="94" spans="1:9" s="1" customFormat="1" ht="74.25" customHeight="1">
      <c r="A94" s="55" t="s">
        <v>603</v>
      </c>
      <c r="B94" s="44" t="s">
        <v>109</v>
      </c>
      <c r="C94" s="44" t="s">
        <v>655</v>
      </c>
      <c r="D94" s="44"/>
      <c r="E94" s="47">
        <f>E95+E97</f>
        <v>44.199999999999996</v>
      </c>
      <c r="F94" s="80"/>
      <c r="G94" s="47">
        <f>G95+G97</f>
        <v>0</v>
      </c>
      <c r="H94" s="80"/>
      <c r="I94" s="120"/>
    </row>
    <row r="95" spans="1:9" s="1" customFormat="1" ht="63.75" customHeight="1">
      <c r="A95" s="55" t="s">
        <v>320</v>
      </c>
      <c r="B95" s="44" t="s">
        <v>109</v>
      </c>
      <c r="C95" s="44" t="s">
        <v>655</v>
      </c>
      <c r="D95" s="44" t="s">
        <v>175</v>
      </c>
      <c r="E95" s="47">
        <f>E96</f>
        <v>36.9</v>
      </c>
      <c r="F95" s="80"/>
      <c r="G95" s="47">
        <f>G96</f>
        <v>0</v>
      </c>
      <c r="H95" s="80"/>
      <c r="I95" s="120"/>
    </row>
    <row r="96" spans="1:9" s="1" customFormat="1" ht="26.25" customHeight="1">
      <c r="A96" s="55" t="s">
        <v>168</v>
      </c>
      <c r="B96" s="44" t="s">
        <v>109</v>
      </c>
      <c r="C96" s="44" t="s">
        <v>655</v>
      </c>
      <c r="D96" s="44" t="s">
        <v>167</v>
      </c>
      <c r="E96" s="47">
        <f>36.9</f>
        <v>36.9</v>
      </c>
      <c r="F96" s="80"/>
      <c r="G96" s="47">
        <v>0</v>
      </c>
      <c r="H96" s="80"/>
      <c r="I96" s="120"/>
    </row>
    <row r="97" spans="1:9" s="1" customFormat="1" ht="26.25" customHeight="1">
      <c r="A97" s="55" t="s">
        <v>170</v>
      </c>
      <c r="B97" s="44" t="s">
        <v>109</v>
      </c>
      <c r="C97" s="44" t="s">
        <v>655</v>
      </c>
      <c r="D97" s="44" t="s">
        <v>169</v>
      </c>
      <c r="E97" s="47">
        <f>E98</f>
        <v>7.3</v>
      </c>
      <c r="F97" s="80"/>
      <c r="G97" s="47">
        <f>G98</f>
        <v>0</v>
      </c>
      <c r="H97" s="80"/>
      <c r="I97" s="120"/>
    </row>
    <row r="98" spans="1:9" s="1" customFormat="1" ht="32.25" customHeight="1">
      <c r="A98" s="55" t="s">
        <v>172</v>
      </c>
      <c r="B98" s="44" t="s">
        <v>109</v>
      </c>
      <c r="C98" s="44" t="s">
        <v>655</v>
      </c>
      <c r="D98" s="44" t="s">
        <v>171</v>
      </c>
      <c r="E98" s="47">
        <v>7.3</v>
      </c>
      <c r="F98" s="80"/>
      <c r="G98" s="47">
        <v>0</v>
      </c>
      <c r="H98" s="80"/>
      <c r="I98" s="120"/>
    </row>
    <row r="99" spans="1:9" s="1" customFormat="1" ht="78" customHeight="1">
      <c r="A99" s="55" t="s">
        <v>673</v>
      </c>
      <c r="B99" s="44" t="s">
        <v>109</v>
      </c>
      <c r="C99" s="44" t="s">
        <v>672</v>
      </c>
      <c r="D99" s="44"/>
      <c r="E99" s="47">
        <f>E100</f>
        <v>1</v>
      </c>
      <c r="F99" s="80"/>
      <c r="G99" s="47">
        <f>G100</f>
        <v>0</v>
      </c>
      <c r="H99" s="80"/>
      <c r="I99" s="120"/>
    </row>
    <row r="100" spans="1:9" s="1" customFormat="1" ht="60" customHeight="1">
      <c r="A100" s="55" t="s">
        <v>320</v>
      </c>
      <c r="B100" s="44" t="s">
        <v>109</v>
      </c>
      <c r="C100" s="44" t="s">
        <v>672</v>
      </c>
      <c r="D100" s="44" t="s">
        <v>175</v>
      </c>
      <c r="E100" s="47">
        <f>E101</f>
        <v>1</v>
      </c>
      <c r="F100" s="80"/>
      <c r="G100" s="47">
        <f>G101</f>
        <v>0</v>
      </c>
      <c r="H100" s="80"/>
      <c r="I100" s="120"/>
    </row>
    <row r="101" spans="1:9" s="1" customFormat="1" ht="19.5" customHeight="1">
      <c r="A101" s="55" t="s">
        <v>168</v>
      </c>
      <c r="B101" s="44" t="s">
        <v>109</v>
      </c>
      <c r="C101" s="44" t="s">
        <v>672</v>
      </c>
      <c r="D101" s="44" t="s">
        <v>167</v>
      </c>
      <c r="E101" s="47">
        <f>1</f>
        <v>1</v>
      </c>
      <c r="F101" s="80"/>
      <c r="G101" s="47">
        <v>0</v>
      </c>
      <c r="H101" s="80"/>
      <c r="I101" s="120"/>
    </row>
    <row r="102" spans="1:9" s="1" customFormat="1" ht="74.25" customHeight="1">
      <c r="A102" s="55" t="s">
        <v>604</v>
      </c>
      <c r="B102" s="44" t="s">
        <v>109</v>
      </c>
      <c r="C102" s="44" t="s">
        <v>656</v>
      </c>
      <c r="D102" s="44"/>
      <c r="E102" s="47">
        <f>E103+E105</f>
        <v>44.3</v>
      </c>
      <c r="F102" s="80"/>
      <c r="G102" s="47">
        <f>G103+G105</f>
        <v>0</v>
      </c>
      <c r="H102" s="80"/>
      <c r="I102" s="120"/>
    </row>
    <row r="103" spans="1:9" s="1" customFormat="1" ht="31.5" customHeight="1">
      <c r="A103" s="55" t="s">
        <v>320</v>
      </c>
      <c r="B103" s="44" t="s">
        <v>109</v>
      </c>
      <c r="C103" s="44" t="s">
        <v>656</v>
      </c>
      <c r="D103" s="44" t="s">
        <v>175</v>
      </c>
      <c r="E103" s="47">
        <f>E104</f>
        <v>36.9</v>
      </c>
      <c r="F103" s="80"/>
      <c r="G103" s="47">
        <f>G104</f>
        <v>0</v>
      </c>
      <c r="H103" s="80"/>
      <c r="I103" s="120"/>
    </row>
    <row r="104" spans="1:9" s="1" customFormat="1" ht="23.25" customHeight="1">
      <c r="A104" s="55" t="s">
        <v>168</v>
      </c>
      <c r="B104" s="44" t="s">
        <v>109</v>
      </c>
      <c r="C104" s="44" t="s">
        <v>656</v>
      </c>
      <c r="D104" s="44" t="s">
        <v>167</v>
      </c>
      <c r="E104" s="47">
        <v>36.9</v>
      </c>
      <c r="F104" s="80"/>
      <c r="G104" s="47">
        <v>0</v>
      </c>
      <c r="H104" s="80"/>
      <c r="I104" s="120"/>
    </row>
    <row r="105" spans="1:9" s="1" customFormat="1" ht="23.25" customHeight="1">
      <c r="A105" s="55" t="s">
        <v>170</v>
      </c>
      <c r="B105" s="44" t="s">
        <v>109</v>
      </c>
      <c r="C105" s="44" t="s">
        <v>656</v>
      </c>
      <c r="D105" s="44" t="s">
        <v>169</v>
      </c>
      <c r="E105" s="47">
        <f>E106</f>
        <v>7.4</v>
      </c>
      <c r="F105" s="80"/>
      <c r="G105" s="47">
        <f>G106</f>
        <v>0</v>
      </c>
      <c r="H105" s="80"/>
      <c r="I105" s="120"/>
    </row>
    <row r="106" spans="1:9" s="1" customFormat="1" ht="31.5" customHeight="1">
      <c r="A106" s="55" t="s">
        <v>172</v>
      </c>
      <c r="B106" s="44" t="s">
        <v>109</v>
      </c>
      <c r="C106" s="44" t="s">
        <v>656</v>
      </c>
      <c r="D106" s="44" t="s">
        <v>171</v>
      </c>
      <c r="E106" s="47">
        <f>7.4</f>
        <v>7.4</v>
      </c>
      <c r="F106" s="80"/>
      <c r="G106" s="47">
        <v>0</v>
      </c>
      <c r="H106" s="80"/>
      <c r="I106" s="120"/>
    </row>
    <row r="107" spans="1:9" s="1" customFormat="1" ht="76.5" customHeight="1">
      <c r="A107" s="55" t="s">
        <v>610</v>
      </c>
      <c r="B107" s="44" t="s">
        <v>109</v>
      </c>
      <c r="C107" s="44" t="s">
        <v>657</v>
      </c>
      <c r="D107" s="44"/>
      <c r="E107" s="47">
        <f>E108</f>
        <v>36.9</v>
      </c>
      <c r="F107" s="80"/>
      <c r="G107" s="47">
        <f>G108</f>
        <v>0</v>
      </c>
      <c r="H107" s="80"/>
      <c r="I107" s="120"/>
    </row>
    <row r="108" spans="1:9" s="1" customFormat="1" ht="64.5" customHeight="1">
      <c r="A108" s="55" t="s">
        <v>320</v>
      </c>
      <c r="B108" s="44" t="s">
        <v>109</v>
      </c>
      <c r="C108" s="44" t="s">
        <v>657</v>
      </c>
      <c r="D108" s="44" t="s">
        <v>175</v>
      </c>
      <c r="E108" s="47">
        <f>E109</f>
        <v>36.9</v>
      </c>
      <c r="F108" s="80"/>
      <c r="G108" s="47">
        <f>G109</f>
        <v>0</v>
      </c>
      <c r="H108" s="80"/>
      <c r="I108" s="120"/>
    </row>
    <row r="109" spans="1:9" s="1" customFormat="1" ht="24" customHeight="1">
      <c r="A109" s="55" t="s">
        <v>168</v>
      </c>
      <c r="B109" s="44" t="s">
        <v>109</v>
      </c>
      <c r="C109" s="44" t="s">
        <v>657</v>
      </c>
      <c r="D109" s="44" t="s">
        <v>167</v>
      </c>
      <c r="E109" s="47">
        <v>36.9</v>
      </c>
      <c r="F109" s="80"/>
      <c r="G109" s="47">
        <v>0</v>
      </c>
      <c r="H109" s="80"/>
      <c r="I109" s="120"/>
    </row>
    <row r="110" spans="1:9" s="1" customFormat="1" ht="44.25" customHeight="1">
      <c r="A110" s="51" t="s">
        <v>63</v>
      </c>
      <c r="B110" s="60" t="s">
        <v>64</v>
      </c>
      <c r="C110" s="60"/>
      <c r="D110" s="60"/>
      <c r="E110" s="11">
        <f>E157+E115+E111</f>
        <v>54765</v>
      </c>
      <c r="F110" s="11">
        <f>F157</f>
        <v>0</v>
      </c>
      <c r="G110" s="11">
        <f>G157+G115+G111</f>
        <v>52936.799999999996</v>
      </c>
      <c r="H110" s="11">
        <f>H157</f>
        <v>0</v>
      </c>
      <c r="I110" s="16">
        <f>G110/E110*100</f>
        <v>96.66173651054505</v>
      </c>
    </row>
    <row r="111" spans="1:9" s="1" customFormat="1" ht="78.75" customHeight="1">
      <c r="A111" s="33" t="s">
        <v>257</v>
      </c>
      <c r="B111" s="36" t="s">
        <v>64</v>
      </c>
      <c r="C111" s="34" t="s">
        <v>234</v>
      </c>
      <c r="D111" s="60"/>
      <c r="E111" s="37">
        <f>E112</f>
        <v>2722.2000000000003</v>
      </c>
      <c r="F111" s="11"/>
      <c r="G111" s="37">
        <f>G112</f>
        <v>2580.2</v>
      </c>
      <c r="H111" s="11"/>
      <c r="I111" s="120"/>
    </row>
    <row r="112" spans="1:9" s="1" customFormat="1" ht="35.25" customHeight="1">
      <c r="A112" s="43" t="s">
        <v>233</v>
      </c>
      <c r="B112" s="36" t="s">
        <v>64</v>
      </c>
      <c r="C112" s="34" t="s">
        <v>232</v>
      </c>
      <c r="D112" s="60"/>
      <c r="E112" s="37">
        <f>E113</f>
        <v>2722.2000000000003</v>
      </c>
      <c r="F112" s="11"/>
      <c r="G112" s="37">
        <f>G113</f>
        <v>2580.2</v>
      </c>
      <c r="H112" s="11"/>
      <c r="I112" s="120"/>
    </row>
    <row r="113" spans="1:9" s="1" customFormat="1" ht="29.25" customHeight="1">
      <c r="A113" s="43" t="s">
        <v>170</v>
      </c>
      <c r="B113" s="36" t="s">
        <v>64</v>
      </c>
      <c r="C113" s="34" t="s">
        <v>232</v>
      </c>
      <c r="D113" s="36" t="s">
        <v>169</v>
      </c>
      <c r="E113" s="37">
        <f>E114</f>
        <v>2722.2000000000003</v>
      </c>
      <c r="F113" s="11"/>
      <c r="G113" s="37">
        <f>G114</f>
        <v>2580.2</v>
      </c>
      <c r="H113" s="11"/>
      <c r="I113" s="120"/>
    </row>
    <row r="114" spans="1:9" s="1" customFormat="1" ht="33" customHeight="1">
      <c r="A114" s="43" t="s">
        <v>172</v>
      </c>
      <c r="B114" s="36" t="s">
        <v>64</v>
      </c>
      <c r="C114" s="34" t="s">
        <v>232</v>
      </c>
      <c r="D114" s="36" t="s">
        <v>171</v>
      </c>
      <c r="E114" s="37">
        <f>1255+490.3+162+445+37.5+350-17.6</f>
        <v>2722.2000000000003</v>
      </c>
      <c r="F114" s="11"/>
      <c r="G114" s="37">
        <v>2580.2</v>
      </c>
      <c r="H114" s="11"/>
      <c r="I114" s="120"/>
    </row>
    <row r="115" spans="1:9" s="1" customFormat="1" ht="21" customHeight="1">
      <c r="A115" s="33" t="s">
        <v>238</v>
      </c>
      <c r="B115" s="36" t="s">
        <v>64</v>
      </c>
      <c r="C115" s="34" t="s">
        <v>20</v>
      </c>
      <c r="D115" s="36"/>
      <c r="E115" s="37">
        <f>E116+E120</f>
        <v>38287.1</v>
      </c>
      <c r="F115" s="37">
        <f>F157</f>
        <v>0</v>
      </c>
      <c r="G115" s="37">
        <f>G116+G120</f>
        <v>37405.1</v>
      </c>
      <c r="H115" s="37">
        <f>H157</f>
        <v>0</v>
      </c>
      <c r="I115" s="120"/>
    </row>
    <row r="116" spans="1:9" s="1" customFormat="1" ht="46.5" customHeight="1">
      <c r="A116" s="33" t="s">
        <v>303</v>
      </c>
      <c r="B116" s="36" t="s">
        <v>64</v>
      </c>
      <c r="C116" s="34" t="s">
        <v>27</v>
      </c>
      <c r="D116" s="36"/>
      <c r="E116" s="37">
        <f>E117</f>
        <v>208.7</v>
      </c>
      <c r="F116" s="37"/>
      <c r="G116" s="37">
        <f>G117</f>
        <v>162.4</v>
      </c>
      <c r="H116" s="37"/>
      <c r="I116" s="120"/>
    </row>
    <row r="117" spans="1:9" s="1" customFormat="1" ht="46.5" customHeight="1">
      <c r="A117" s="33" t="s">
        <v>489</v>
      </c>
      <c r="B117" s="36" t="s">
        <v>64</v>
      </c>
      <c r="C117" s="34" t="s">
        <v>28</v>
      </c>
      <c r="D117" s="36"/>
      <c r="E117" s="37">
        <f>E118</f>
        <v>208.7</v>
      </c>
      <c r="F117" s="37"/>
      <c r="G117" s="37">
        <f>G118</f>
        <v>162.4</v>
      </c>
      <c r="H117" s="37"/>
      <c r="I117" s="120"/>
    </row>
    <row r="118" spans="1:9" s="1" customFormat="1" ht="21" customHeight="1">
      <c r="A118" s="43" t="s">
        <v>170</v>
      </c>
      <c r="B118" s="36" t="s">
        <v>64</v>
      </c>
      <c r="C118" s="34" t="s">
        <v>28</v>
      </c>
      <c r="D118" s="36" t="s">
        <v>169</v>
      </c>
      <c r="E118" s="37">
        <f>E119</f>
        <v>208.7</v>
      </c>
      <c r="F118" s="37"/>
      <c r="G118" s="37">
        <f>G119</f>
        <v>162.4</v>
      </c>
      <c r="H118" s="37"/>
      <c r="I118" s="120"/>
    </row>
    <row r="119" spans="1:9" s="1" customFormat="1" ht="33" customHeight="1">
      <c r="A119" s="43" t="s">
        <v>172</v>
      </c>
      <c r="B119" s="36" t="s">
        <v>64</v>
      </c>
      <c r="C119" s="34" t="s">
        <v>28</v>
      </c>
      <c r="D119" s="36" t="s">
        <v>171</v>
      </c>
      <c r="E119" s="37">
        <f>60+100+60-11.3</f>
        <v>208.7</v>
      </c>
      <c r="F119" s="37"/>
      <c r="G119" s="37">
        <v>162.4</v>
      </c>
      <c r="H119" s="37"/>
      <c r="I119" s="120"/>
    </row>
    <row r="120" spans="1:9" s="1" customFormat="1" ht="21" customHeight="1">
      <c r="A120" s="38" t="s">
        <v>41</v>
      </c>
      <c r="B120" s="36" t="s">
        <v>64</v>
      </c>
      <c r="C120" s="34" t="s">
        <v>21</v>
      </c>
      <c r="D120" s="36"/>
      <c r="E120" s="37">
        <f>E121+E133</f>
        <v>38078.4</v>
      </c>
      <c r="F120" s="37"/>
      <c r="G120" s="37">
        <f>G121+G133</f>
        <v>37242.7</v>
      </c>
      <c r="H120" s="37"/>
      <c r="I120" s="120"/>
    </row>
    <row r="121" spans="1:9" s="1" customFormat="1" ht="21.75" customHeight="1">
      <c r="A121" s="38" t="s">
        <v>116</v>
      </c>
      <c r="B121" s="36" t="s">
        <v>64</v>
      </c>
      <c r="C121" s="36" t="s">
        <v>29</v>
      </c>
      <c r="D121" s="36"/>
      <c r="E121" s="37">
        <f>E122+E125+E128</f>
        <v>36068.3</v>
      </c>
      <c r="F121" s="37"/>
      <c r="G121" s="37">
        <f>G122+G125+G128</f>
        <v>35232.6</v>
      </c>
      <c r="H121" s="37"/>
      <c r="I121" s="120"/>
    </row>
    <row r="122" spans="1:9" s="1" customFormat="1" ht="24.75" customHeight="1">
      <c r="A122" s="43" t="s">
        <v>154</v>
      </c>
      <c r="B122" s="36" t="s">
        <v>64</v>
      </c>
      <c r="C122" s="36" t="s">
        <v>30</v>
      </c>
      <c r="D122" s="36"/>
      <c r="E122" s="37">
        <f>E123</f>
        <v>12739.5</v>
      </c>
      <c r="F122" s="37"/>
      <c r="G122" s="37">
        <f>G123</f>
        <v>12682.9</v>
      </c>
      <c r="H122" s="37"/>
      <c r="I122" s="120"/>
    </row>
    <row r="123" spans="1:9" s="1" customFormat="1" ht="63.75" customHeight="1">
      <c r="A123" s="40" t="s">
        <v>320</v>
      </c>
      <c r="B123" s="36" t="s">
        <v>64</v>
      </c>
      <c r="C123" s="36" t="s">
        <v>30</v>
      </c>
      <c r="D123" s="36" t="s">
        <v>175</v>
      </c>
      <c r="E123" s="37">
        <f>E124</f>
        <v>12739.5</v>
      </c>
      <c r="F123" s="37"/>
      <c r="G123" s="37">
        <f>G124</f>
        <v>12682.9</v>
      </c>
      <c r="H123" s="37"/>
      <c r="I123" s="120"/>
    </row>
    <row r="124" spans="1:9" s="1" customFormat="1" ht="22.5" customHeight="1">
      <c r="A124" s="40" t="s">
        <v>168</v>
      </c>
      <c r="B124" s="36" t="s">
        <v>64</v>
      </c>
      <c r="C124" s="36" t="s">
        <v>30</v>
      </c>
      <c r="D124" s="36" t="s">
        <v>167</v>
      </c>
      <c r="E124" s="37">
        <f>14527.7-961.2-187-200-440</f>
        <v>12739.5</v>
      </c>
      <c r="F124" s="37"/>
      <c r="G124" s="37">
        <v>12682.9</v>
      </c>
      <c r="H124" s="37"/>
      <c r="I124" s="120"/>
    </row>
    <row r="125" spans="1:9" s="1" customFormat="1" ht="24" customHeight="1">
      <c r="A125" s="43" t="s">
        <v>155</v>
      </c>
      <c r="B125" s="36" t="s">
        <v>64</v>
      </c>
      <c r="C125" s="36" t="s">
        <v>31</v>
      </c>
      <c r="D125" s="36"/>
      <c r="E125" s="37">
        <f>E126</f>
        <v>20320.300000000003</v>
      </c>
      <c r="F125" s="37"/>
      <c r="G125" s="37">
        <f>G126</f>
        <v>20216.2</v>
      </c>
      <c r="H125" s="37"/>
      <c r="I125" s="120"/>
    </row>
    <row r="126" spans="1:9" s="1" customFormat="1" ht="61.5" customHeight="1">
      <c r="A126" s="40" t="s">
        <v>320</v>
      </c>
      <c r="B126" s="36" t="s">
        <v>64</v>
      </c>
      <c r="C126" s="36" t="s">
        <v>31</v>
      </c>
      <c r="D126" s="36" t="s">
        <v>175</v>
      </c>
      <c r="E126" s="37">
        <f>E127</f>
        <v>20320.300000000003</v>
      </c>
      <c r="F126" s="37"/>
      <c r="G126" s="37">
        <f>G127</f>
        <v>20216.2</v>
      </c>
      <c r="H126" s="37"/>
      <c r="I126" s="120"/>
    </row>
    <row r="127" spans="1:9" s="1" customFormat="1" ht="19.5" customHeight="1">
      <c r="A127" s="40" t="s">
        <v>168</v>
      </c>
      <c r="B127" s="36" t="s">
        <v>64</v>
      </c>
      <c r="C127" s="36" t="s">
        <v>31</v>
      </c>
      <c r="D127" s="36" t="s">
        <v>167</v>
      </c>
      <c r="E127" s="37">
        <f>20304.4+315.9-300</f>
        <v>20320.300000000003</v>
      </c>
      <c r="F127" s="37"/>
      <c r="G127" s="37">
        <v>20216.2</v>
      </c>
      <c r="H127" s="37"/>
      <c r="I127" s="120"/>
    </row>
    <row r="128" spans="1:9" s="1" customFormat="1" ht="30.75" customHeight="1">
      <c r="A128" s="43" t="s">
        <v>68</v>
      </c>
      <c r="B128" s="36" t="s">
        <v>64</v>
      </c>
      <c r="C128" s="36" t="s">
        <v>32</v>
      </c>
      <c r="D128" s="36"/>
      <c r="E128" s="37">
        <f>E129+E131</f>
        <v>3008.5</v>
      </c>
      <c r="F128" s="37"/>
      <c r="G128" s="37">
        <f>G129+G131</f>
        <v>2333.5</v>
      </c>
      <c r="H128" s="37"/>
      <c r="I128" s="120"/>
    </row>
    <row r="129" spans="1:9" s="1" customFormat="1" ht="20.25" customHeight="1">
      <c r="A129" s="43" t="s">
        <v>170</v>
      </c>
      <c r="B129" s="36" t="s">
        <v>64</v>
      </c>
      <c r="C129" s="36" t="s">
        <v>32</v>
      </c>
      <c r="D129" s="36" t="s">
        <v>169</v>
      </c>
      <c r="E129" s="37">
        <f>E130</f>
        <v>2968.5</v>
      </c>
      <c r="F129" s="37"/>
      <c r="G129" s="37">
        <f>G130</f>
        <v>2313</v>
      </c>
      <c r="H129" s="37"/>
      <c r="I129" s="120"/>
    </row>
    <row r="130" spans="1:9" s="1" customFormat="1" ht="33.75" customHeight="1">
      <c r="A130" s="33" t="s">
        <v>172</v>
      </c>
      <c r="B130" s="36" t="s">
        <v>64</v>
      </c>
      <c r="C130" s="36" t="s">
        <v>32</v>
      </c>
      <c r="D130" s="36" t="s">
        <v>171</v>
      </c>
      <c r="E130" s="37">
        <f>2526-445-37.5+925</f>
        <v>2968.5</v>
      </c>
      <c r="F130" s="37"/>
      <c r="G130" s="37">
        <v>2313</v>
      </c>
      <c r="H130" s="37"/>
      <c r="I130" s="120"/>
    </row>
    <row r="131" spans="1:9" s="1" customFormat="1" ht="23.25" customHeight="1">
      <c r="A131" s="55" t="s">
        <v>174</v>
      </c>
      <c r="B131" s="36" t="s">
        <v>64</v>
      </c>
      <c r="C131" s="36" t="s">
        <v>32</v>
      </c>
      <c r="D131" s="36" t="s">
        <v>173</v>
      </c>
      <c r="E131" s="37">
        <f>E132</f>
        <v>40</v>
      </c>
      <c r="F131" s="37"/>
      <c r="G131" s="37">
        <f>G132</f>
        <v>20.5</v>
      </c>
      <c r="H131" s="37"/>
      <c r="I131" s="120"/>
    </row>
    <row r="132" spans="1:9" s="1" customFormat="1" ht="18" customHeight="1">
      <c r="A132" s="43" t="s">
        <v>324</v>
      </c>
      <c r="B132" s="36" t="s">
        <v>64</v>
      </c>
      <c r="C132" s="36" t="s">
        <v>32</v>
      </c>
      <c r="D132" s="36" t="s">
        <v>323</v>
      </c>
      <c r="E132" s="37">
        <v>40</v>
      </c>
      <c r="F132" s="37"/>
      <c r="G132" s="37">
        <v>20.5</v>
      </c>
      <c r="H132" s="37"/>
      <c r="I132" s="120"/>
    </row>
    <row r="133" spans="1:9" s="1" customFormat="1" ht="90.75" customHeight="1">
      <c r="A133" s="55" t="s">
        <v>590</v>
      </c>
      <c r="B133" s="36" t="s">
        <v>64</v>
      </c>
      <c r="C133" s="36" t="s">
        <v>591</v>
      </c>
      <c r="D133" s="36"/>
      <c r="E133" s="37">
        <f>E134</f>
        <v>2010.1</v>
      </c>
      <c r="F133" s="37"/>
      <c r="G133" s="37">
        <f>G134</f>
        <v>2010.1</v>
      </c>
      <c r="H133" s="37"/>
      <c r="I133" s="120"/>
    </row>
    <row r="134" spans="1:9" s="1" customFormat="1" ht="18" customHeight="1">
      <c r="A134" s="55" t="s">
        <v>116</v>
      </c>
      <c r="B134" s="36" t="s">
        <v>64</v>
      </c>
      <c r="C134" s="36" t="s">
        <v>591</v>
      </c>
      <c r="D134" s="36"/>
      <c r="E134" s="37">
        <f>E135</f>
        <v>2010.1</v>
      </c>
      <c r="F134" s="37"/>
      <c r="G134" s="37">
        <f>G135</f>
        <v>2010.1</v>
      </c>
      <c r="H134" s="37"/>
      <c r="I134" s="120"/>
    </row>
    <row r="135" spans="1:9" s="1" customFormat="1" ht="60.75" customHeight="1">
      <c r="A135" s="39" t="s">
        <v>320</v>
      </c>
      <c r="B135" s="36" t="s">
        <v>64</v>
      </c>
      <c r="C135" s="36" t="s">
        <v>591</v>
      </c>
      <c r="D135" s="36" t="s">
        <v>175</v>
      </c>
      <c r="E135" s="37">
        <f>E136</f>
        <v>2010.1</v>
      </c>
      <c r="F135" s="37"/>
      <c r="G135" s="37">
        <f>G136</f>
        <v>2010.1</v>
      </c>
      <c r="H135" s="37"/>
      <c r="I135" s="120"/>
    </row>
    <row r="136" spans="1:9" s="1" customFormat="1" ht="18" customHeight="1">
      <c r="A136" s="39" t="s">
        <v>168</v>
      </c>
      <c r="B136" s="36" t="s">
        <v>64</v>
      </c>
      <c r="C136" s="36" t="s">
        <v>591</v>
      </c>
      <c r="D136" s="36" t="s">
        <v>167</v>
      </c>
      <c r="E136" s="37">
        <f>E140+E144+E148+E152+E156</f>
        <v>2010.1</v>
      </c>
      <c r="F136" s="37"/>
      <c r="G136" s="37">
        <f>G140+G144+G148+G152+G156</f>
        <v>2010.1</v>
      </c>
      <c r="H136" s="37"/>
      <c r="I136" s="120"/>
    </row>
    <row r="137" spans="1:9" s="1" customFormat="1" ht="90.75" customHeight="1">
      <c r="A137" s="55" t="s">
        <v>592</v>
      </c>
      <c r="B137" s="36" t="s">
        <v>64</v>
      </c>
      <c r="C137" s="36" t="s">
        <v>593</v>
      </c>
      <c r="D137" s="36"/>
      <c r="E137" s="37">
        <f>E138</f>
        <v>402</v>
      </c>
      <c r="F137" s="37"/>
      <c r="G137" s="37">
        <f>G138</f>
        <v>402</v>
      </c>
      <c r="H137" s="37"/>
      <c r="I137" s="120"/>
    </row>
    <row r="138" spans="1:9" s="1" customFormat="1" ht="18" customHeight="1">
      <c r="A138" s="55" t="s">
        <v>116</v>
      </c>
      <c r="B138" s="36" t="s">
        <v>64</v>
      </c>
      <c r="C138" s="36" t="s">
        <v>593</v>
      </c>
      <c r="D138" s="36"/>
      <c r="E138" s="37">
        <f>E139</f>
        <v>402</v>
      </c>
      <c r="F138" s="37"/>
      <c r="G138" s="37">
        <f>G139</f>
        <v>402</v>
      </c>
      <c r="H138" s="37"/>
      <c r="I138" s="120"/>
    </row>
    <row r="139" spans="1:9" s="1" customFormat="1" ht="61.5" customHeight="1">
      <c r="A139" s="39" t="s">
        <v>320</v>
      </c>
      <c r="B139" s="36" t="s">
        <v>64</v>
      </c>
      <c r="C139" s="36" t="s">
        <v>593</v>
      </c>
      <c r="D139" s="36" t="s">
        <v>175</v>
      </c>
      <c r="E139" s="37">
        <f>E140</f>
        <v>402</v>
      </c>
      <c r="F139" s="37"/>
      <c r="G139" s="37">
        <f>G140</f>
        <v>402</v>
      </c>
      <c r="H139" s="37"/>
      <c r="I139" s="120"/>
    </row>
    <row r="140" spans="1:9" s="1" customFormat="1" ht="21.75" customHeight="1">
      <c r="A140" s="39" t="s">
        <v>168</v>
      </c>
      <c r="B140" s="36" t="s">
        <v>64</v>
      </c>
      <c r="C140" s="36" t="s">
        <v>593</v>
      </c>
      <c r="D140" s="36" t="s">
        <v>167</v>
      </c>
      <c r="E140" s="37">
        <f>402</f>
        <v>402</v>
      </c>
      <c r="F140" s="37"/>
      <c r="G140" s="37">
        <v>402</v>
      </c>
      <c r="H140" s="37"/>
      <c r="I140" s="120"/>
    </row>
    <row r="141" spans="1:9" s="1" customFormat="1" ht="94.5" customHeight="1">
      <c r="A141" s="55" t="s">
        <v>594</v>
      </c>
      <c r="B141" s="36" t="s">
        <v>64</v>
      </c>
      <c r="C141" s="36" t="s">
        <v>595</v>
      </c>
      <c r="D141" s="36"/>
      <c r="E141" s="37">
        <f>E142</f>
        <v>402</v>
      </c>
      <c r="F141" s="37"/>
      <c r="G141" s="37">
        <f>G142</f>
        <v>402</v>
      </c>
      <c r="H141" s="37"/>
      <c r="I141" s="120"/>
    </row>
    <row r="142" spans="1:9" s="1" customFormat="1" ht="18" customHeight="1">
      <c r="A142" s="55" t="s">
        <v>116</v>
      </c>
      <c r="B142" s="36" t="s">
        <v>64</v>
      </c>
      <c r="C142" s="36" t="s">
        <v>595</v>
      </c>
      <c r="D142" s="36"/>
      <c r="E142" s="37">
        <f>E143</f>
        <v>402</v>
      </c>
      <c r="F142" s="37"/>
      <c r="G142" s="37">
        <f>G143</f>
        <v>402</v>
      </c>
      <c r="H142" s="37"/>
      <c r="I142" s="120"/>
    </row>
    <row r="143" spans="1:9" s="1" customFormat="1" ht="61.5" customHeight="1">
      <c r="A143" s="39" t="s">
        <v>320</v>
      </c>
      <c r="B143" s="36" t="s">
        <v>64</v>
      </c>
      <c r="C143" s="36" t="s">
        <v>595</v>
      </c>
      <c r="D143" s="36" t="s">
        <v>175</v>
      </c>
      <c r="E143" s="37">
        <f>E144</f>
        <v>402</v>
      </c>
      <c r="F143" s="37"/>
      <c r="G143" s="37">
        <f>G144</f>
        <v>402</v>
      </c>
      <c r="H143" s="37"/>
      <c r="I143" s="120"/>
    </row>
    <row r="144" spans="1:9" s="1" customFormat="1" ht="18" customHeight="1">
      <c r="A144" s="39" t="s">
        <v>168</v>
      </c>
      <c r="B144" s="36" t="s">
        <v>64</v>
      </c>
      <c r="C144" s="36" t="s">
        <v>595</v>
      </c>
      <c r="D144" s="36" t="s">
        <v>167</v>
      </c>
      <c r="E144" s="37">
        <f>402</f>
        <v>402</v>
      </c>
      <c r="F144" s="37"/>
      <c r="G144" s="37">
        <v>402</v>
      </c>
      <c r="H144" s="37"/>
      <c r="I144" s="120"/>
    </row>
    <row r="145" spans="1:9" s="1" customFormat="1" ht="93.75" customHeight="1">
      <c r="A145" s="55" t="s">
        <v>596</v>
      </c>
      <c r="B145" s="36" t="s">
        <v>64</v>
      </c>
      <c r="C145" s="36" t="s">
        <v>597</v>
      </c>
      <c r="D145" s="36"/>
      <c r="E145" s="37">
        <f>E146</f>
        <v>402.1</v>
      </c>
      <c r="F145" s="37"/>
      <c r="G145" s="37">
        <f>G146</f>
        <v>402.1</v>
      </c>
      <c r="H145" s="37"/>
      <c r="I145" s="120"/>
    </row>
    <row r="146" spans="1:9" s="1" customFormat="1" ht="18" customHeight="1">
      <c r="A146" s="55" t="s">
        <v>116</v>
      </c>
      <c r="B146" s="36" t="s">
        <v>64</v>
      </c>
      <c r="C146" s="36" t="s">
        <v>597</v>
      </c>
      <c r="D146" s="36"/>
      <c r="E146" s="37">
        <f>E147</f>
        <v>402.1</v>
      </c>
      <c r="F146" s="37"/>
      <c r="G146" s="37">
        <f>G147</f>
        <v>402.1</v>
      </c>
      <c r="H146" s="37"/>
      <c r="I146" s="120"/>
    </row>
    <row r="147" spans="1:9" s="1" customFormat="1" ht="63" customHeight="1">
      <c r="A147" s="39" t="s">
        <v>320</v>
      </c>
      <c r="B147" s="36" t="s">
        <v>64</v>
      </c>
      <c r="C147" s="36" t="s">
        <v>597</v>
      </c>
      <c r="D147" s="36" t="s">
        <v>175</v>
      </c>
      <c r="E147" s="37">
        <f>E148</f>
        <v>402.1</v>
      </c>
      <c r="F147" s="37"/>
      <c r="G147" s="37">
        <f>G148</f>
        <v>402.1</v>
      </c>
      <c r="H147" s="37"/>
      <c r="I147" s="120"/>
    </row>
    <row r="148" spans="1:9" s="1" customFormat="1" ht="18" customHeight="1">
      <c r="A148" s="39" t="s">
        <v>168</v>
      </c>
      <c r="B148" s="36" t="s">
        <v>64</v>
      </c>
      <c r="C148" s="36" t="s">
        <v>597</v>
      </c>
      <c r="D148" s="36" t="s">
        <v>167</v>
      </c>
      <c r="E148" s="37">
        <f>402.1</f>
        <v>402.1</v>
      </c>
      <c r="F148" s="37"/>
      <c r="G148" s="37">
        <v>402.1</v>
      </c>
      <c r="H148" s="37"/>
      <c r="I148" s="120"/>
    </row>
    <row r="149" spans="1:9" s="1" customFormat="1" ht="93.75" customHeight="1">
      <c r="A149" s="55" t="s">
        <v>598</v>
      </c>
      <c r="B149" s="36" t="s">
        <v>64</v>
      </c>
      <c r="C149" s="36" t="s">
        <v>599</v>
      </c>
      <c r="D149" s="36"/>
      <c r="E149" s="37">
        <f>E150</f>
        <v>402</v>
      </c>
      <c r="F149" s="37"/>
      <c r="G149" s="37">
        <f>G150</f>
        <v>402</v>
      </c>
      <c r="H149" s="37"/>
      <c r="I149" s="120"/>
    </row>
    <row r="150" spans="1:9" s="1" customFormat="1" ht="18" customHeight="1">
      <c r="A150" s="55" t="s">
        <v>116</v>
      </c>
      <c r="B150" s="36" t="s">
        <v>64</v>
      </c>
      <c r="C150" s="36" t="s">
        <v>599</v>
      </c>
      <c r="D150" s="36"/>
      <c r="E150" s="37">
        <f>E151</f>
        <v>402</v>
      </c>
      <c r="F150" s="37"/>
      <c r="G150" s="37">
        <f>G151</f>
        <v>402</v>
      </c>
      <c r="H150" s="37"/>
      <c r="I150" s="120"/>
    </row>
    <row r="151" spans="1:9" s="1" customFormat="1" ht="62.25" customHeight="1">
      <c r="A151" s="39" t="s">
        <v>320</v>
      </c>
      <c r="B151" s="36" t="s">
        <v>64</v>
      </c>
      <c r="C151" s="36" t="s">
        <v>599</v>
      </c>
      <c r="D151" s="36" t="s">
        <v>175</v>
      </c>
      <c r="E151" s="37">
        <f>E152</f>
        <v>402</v>
      </c>
      <c r="F151" s="37"/>
      <c r="G151" s="37">
        <f>G152</f>
        <v>402</v>
      </c>
      <c r="H151" s="37"/>
      <c r="I151" s="120"/>
    </row>
    <row r="152" spans="1:9" s="1" customFormat="1" ht="18" customHeight="1">
      <c r="A152" s="39" t="s">
        <v>168</v>
      </c>
      <c r="B152" s="36" t="s">
        <v>64</v>
      </c>
      <c r="C152" s="36" t="s">
        <v>599</v>
      </c>
      <c r="D152" s="36" t="s">
        <v>167</v>
      </c>
      <c r="E152" s="37">
        <f>402</f>
        <v>402</v>
      </c>
      <c r="F152" s="37"/>
      <c r="G152" s="37">
        <v>402</v>
      </c>
      <c r="H152" s="37"/>
      <c r="I152" s="120"/>
    </row>
    <row r="153" spans="1:9" s="1" customFormat="1" ht="92.25" customHeight="1">
      <c r="A153" s="55" t="s">
        <v>600</v>
      </c>
      <c r="B153" s="36" t="s">
        <v>64</v>
      </c>
      <c r="C153" s="36" t="s">
        <v>601</v>
      </c>
      <c r="D153" s="36"/>
      <c r="E153" s="37">
        <f>E154</f>
        <v>402</v>
      </c>
      <c r="F153" s="37"/>
      <c r="G153" s="37">
        <f>G154</f>
        <v>402</v>
      </c>
      <c r="H153" s="37"/>
      <c r="I153" s="120"/>
    </row>
    <row r="154" spans="1:9" s="1" customFormat="1" ht="18" customHeight="1">
      <c r="A154" s="55" t="s">
        <v>116</v>
      </c>
      <c r="B154" s="36" t="s">
        <v>64</v>
      </c>
      <c r="C154" s="36" t="s">
        <v>601</v>
      </c>
      <c r="D154" s="36"/>
      <c r="E154" s="37">
        <f>E155</f>
        <v>402</v>
      </c>
      <c r="F154" s="37"/>
      <c r="G154" s="37">
        <f>G155</f>
        <v>402</v>
      </c>
      <c r="H154" s="37"/>
      <c r="I154" s="120"/>
    </row>
    <row r="155" spans="1:9" s="1" customFormat="1" ht="66" customHeight="1">
      <c r="A155" s="39" t="s">
        <v>320</v>
      </c>
      <c r="B155" s="36" t="s">
        <v>64</v>
      </c>
      <c r="C155" s="36" t="s">
        <v>601</v>
      </c>
      <c r="D155" s="36" t="s">
        <v>175</v>
      </c>
      <c r="E155" s="37">
        <f>E156</f>
        <v>402</v>
      </c>
      <c r="F155" s="37"/>
      <c r="G155" s="37">
        <f>G156</f>
        <v>402</v>
      </c>
      <c r="H155" s="37"/>
      <c r="I155" s="120"/>
    </row>
    <row r="156" spans="1:9" s="1" customFormat="1" ht="18" customHeight="1">
      <c r="A156" s="39" t="s">
        <v>168</v>
      </c>
      <c r="B156" s="36" t="s">
        <v>64</v>
      </c>
      <c r="C156" s="36" t="s">
        <v>601</v>
      </c>
      <c r="D156" s="36" t="s">
        <v>167</v>
      </c>
      <c r="E156" s="37">
        <f>402</f>
        <v>402</v>
      </c>
      <c r="F156" s="37"/>
      <c r="G156" s="37">
        <v>402</v>
      </c>
      <c r="H156" s="37"/>
      <c r="I156" s="120"/>
    </row>
    <row r="157" spans="1:9" s="1" customFormat="1" ht="23.25" customHeight="1">
      <c r="A157" s="33" t="s">
        <v>238</v>
      </c>
      <c r="B157" s="36" t="s">
        <v>64</v>
      </c>
      <c r="C157" s="36" t="s">
        <v>21</v>
      </c>
      <c r="D157" s="36"/>
      <c r="E157" s="37">
        <f>E158</f>
        <v>13755.7</v>
      </c>
      <c r="F157" s="37">
        <f>F160</f>
        <v>0</v>
      </c>
      <c r="G157" s="37">
        <f>G158</f>
        <v>12951.5</v>
      </c>
      <c r="H157" s="37">
        <f>H160</f>
        <v>0</v>
      </c>
      <c r="I157" s="120"/>
    </row>
    <row r="158" spans="1:9" s="1" customFormat="1" ht="30.75" customHeight="1">
      <c r="A158" s="116" t="s">
        <v>301</v>
      </c>
      <c r="B158" s="36" t="s">
        <v>64</v>
      </c>
      <c r="C158" s="34" t="s">
        <v>21</v>
      </c>
      <c r="D158" s="36"/>
      <c r="E158" s="37">
        <f>E159</f>
        <v>13755.7</v>
      </c>
      <c r="F158" s="37"/>
      <c r="G158" s="37">
        <f>G159</f>
        <v>12951.5</v>
      </c>
      <c r="H158" s="37"/>
      <c r="I158" s="120"/>
    </row>
    <row r="159" spans="1:9" s="1" customFormat="1" ht="20.25" customHeight="1">
      <c r="A159" s="38" t="s">
        <v>41</v>
      </c>
      <c r="B159" s="36" t="s">
        <v>64</v>
      </c>
      <c r="C159" s="34" t="s">
        <v>21</v>
      </c>
      <c r="D159" s="36"/>
      <c r="E159" s="37">
        <f>E160+E170+E173</f>
        <v>13755.7</v>
      </c>
      <c r="F159" s="37"/>
      <c r="G159" s="37">
        <f>G160+G170+G173</f>
        <v>12951.5</v>
      </c>
      <c r="H159" s="37"/>
      <c r="I159" s="120"/>
    </row>
    <row r="160" spans="1:9" s="1" customFormat="1" ht="17.25" customHeight="1">
      <c r="A160" s="38" t="s">
        <v>116</v>
      </c>
      <c r="B160" s="36" t="s">
        <v>64</v>
      </c>
      <c r="C160" s="36" t="s">
        <v>29</v>
      </c>
      <c r="D160" s="36"/>
      <c r="E160" s="37">
        <f>E164+E167+E161</f>
        <v>5170.2</v>
      </c>
      <c r="F160" s="37"/>
      <c r="G160" s="37">
        <f>G164+G167+G161</f>
        <v>5170.2</v>
      </c>
      <c r="H160" s="37"/>
      <c r="I160" s="120"/>
    </row>
    <row r="161" spans="1:9" s="1" customFormat="1" ht="22.5" customHeight="1">
      <c r="A161" s="43" t="s">
        <v>154</v>
      </c>
      <c r="B161" s="36" t="s">
        <v>64</v>
      </c>
      <c r="C161" s="36" t="s">
        <v>30</v>
      </c>
      <c r="D161" s="36"/>
      <c r="E161" s="37">
        <f>E162</f>
        <v>549.2</v>
      </c>
      <c r="F161" s="37"/>
      <c r="G161" s="37">
        <f>G162</f>
        <v>549.2</v>
      </c>
      <c r="H161" s="37"/>
      <c r="I161" s="120"/>
    </row>
    <row r="162" spans="1:9" s="1" customFormat="1" ht="65.25" customHeight="1">
      <c r="A162" s="40" t="s">
        <v>320</v>
      </c>
      <c r="B162" s="36" t="s">
        <v>64</v>
      </c>
      <c r="C162" s="36" t="s">
        <v>30</v>
      </c>
      <c r="D162" s="36" t="s">
        <v>175</v>
      </c>
      <c r="E162" s="37">
        <f>E163</f>
        <v>549.2</v>
      </c>
      <c r="F162" s="37"/>
      <c r="G162" s="37">
        <f>G163</f>
        <v>549.2</v>
      </c>
      <c r="H162" s="37"/>
      <c r="I162" s="120"/>
    </row>
    <row r="163" spans="1:9" s="1" customFormat="1" ht="24" customHeight="1">
      <c r="A163" s="40" t="s">
        <v>168</v>
      </c>
      <c r="B163" s="36" t="s">
        <v>64</v>
      </c>
      <c r="C163" s="36" t="s">
        <v>30</v>
      </c>
      <c r="D163" s="36" t="s">
        <v>167</v>
      </c>
      <c r="E163" s="37">
        <f>453.8+1.6+93.8</f>
        <v>549.2</v>
      </c>
      <c r="F163" s="37"/>
      <c r="G163" s="37">
        <v>549.2</v>
      </c>
      <c r="H163" s="37"/>
      <c r="I163" s="120"/>
    </row>
    <row r="164" spans="1:9" s="1" customFormat="1" ht="21" customHeight="1">
      <c r="A164" s="43" t="s">
        <v>155</v>
      </c>
      <c r="B164" s="36" t="s">
        <v>64</v>
      </c>
      <c r="C164" s="36" t="s">
        <v>31</v>
      </c>
      <c r="D164" s="36"/>
      <c r="E164" s="37">
        <f>E165</f>
        <v>3843.4</v>
      </c>
      <c r="F164" s="37"/>
      <c r="G164" s="37">
        <f>G165</f>
        <v>3843.4</v>
      </c>
      <c r="H164" s="37"/>
      <c r="I164" s="120"/>
    </row>
    <row r="165" spans="1:9" s="1" customFormat="1" ht="61.5" customHeight="1">
      <c r="A165" s="40" t="s">
        <v>320</v>
      </c>
      <c r="B165" s="36" t="s">
        <v>64</v>
      </c>
      <c r="C165" s="36" t="s">
        <v>31</v>
      </c>
      <c r="D165" s="36" t="s">
        <v>175</v>
      </c>
      <c r="E165" s="37">
        <f>E166</f>
        <v>3843.4</v>
      </c>
      <c r="F165" s="37"/>
      <c r="G165" s="37">
        <f>G166</f>
        <v>3843.4</v>
      </c>
      <c r="H165" s="37"/>
      <c r="I165" s="120"/>
    </row>
    <row r="166" spans="1:9" s="1" customFormat="1" ht="21" customHeight="1">
      <c r="A166" s="40" t="s">
        <v>168</v>
      </c>
      <c r="B166" s="36" t="s">
        <v>64</v>
      </c>
      <c r="C166" s="36" t="s">
        <v>31</v>
      </c>
      <c r="D166" s="36" t="s">
        <v>167</v>
      </c>
      <c r="E166" s="37">
        <f>4558-1.6-1000-270.6+453.3+104.3</f>
        <v>3843.4</v>
      </c>
      <c r="F166" s="37"/>
      <c r="G166" s="37">
        <v>3843.4</v>
      </c>
      <c r="H166" s="37"/>
      <c r="I166" s="120"/>
    </row>
    <row r="167" spans="1:9" s="1" customFormat="1" ht="30.75" customHeight="1">
      <c r="A167" s="43" t="s">
        <v>68</v>
      </c>
      <c r="B167" s="36" t="s">
        <v>64</v>
      </c>
      <c r="C167" s="36" t="s">
        <v>32</v>
      </c>
      <c r="D167" s="36"/>
      <c r="E167" s="37">
        <f>E168</f>
        <v>777.6</v>
      </c>
      <c r="F167" s="37"/>
      <c r="G167" s="37">
        <f>G168</f>
        <v>777.6</v>
      </c>
      <c r="H167" s="37"/>
      <c r="I167" s="120"/>
    </row>
    <row r="168" spans="1:9" s="1" customFormat="1" ht="20.25" customHeight="1">
      <c r="A168" s="43" t="s">
        <v>170</v>
      </c>
      <c r="B168" s="36" t="s">
        <v>64</v>
      </c>
      <c r="C168" s="36" t="s">
        <v>32</v>
      </c>
      <c r="D168" s="36" t="s">
        <v>169</v>
      </c>
      <c r="E168" s="37">
        <f>E169</f>
        <v>777.6</v>
      </c>
      <c r="F168" s="37"/>
      <c r="G168" s="37">
        <f>G169</f>
        <v>777.6</v>
      </c>
      <c r="H168" s="37"/>
      <c r="I168" s="120"/>
    </row>
    <row r="169" spans="1:9" s="1" customFormat="1" ht="31.5" customHeight="1">
      <c r="A169" s="43" t="s">
        <v>172</v>
      </c>
      <c r="B169" s="36" t="s">
        <v>64</v>
      </c>
      <c r="C169" s="36" t="s">
        <v>32</v>
      </c>
      <c r="D169" s="36" t="s">
        <v>171</v>
      </c>
      <c r="E169" s="37">
        <f>1108.7-162-169.1</f>
        <v>777.6</v>
      </c>
      <c r="F169" s="37"/>
      <c r="G169" s="37">
        <v>777.6</v>
      </c>
      <c r="H169" s="37"/>
      <c r="I169" s="120"/>
    </row>
    <row r="170" spans="1:9" s="1" customFormat="1" ht="30" customHeight="1">
      <c r="A170" s="52" t="s">
        <v>435</v>
      </c>
      <c r="B170" s="36" t="s">
        <v>64</v>
      </c>
      <c r="C170" s="36" t="s">
        <v>300</v>
      </c>
      <c r="D170" s="36"/>
      <c r="E170" s="37">
        <f>E171</f>
        <v>2613.2999999999997</v>
      </c>
      <c r="F170" s="37"/>
      <c r="G170" s="37">
        <f>G171</f>
        <v>2613.3</v>
      </c>
      <c r="H170" s="37"/>
      <c r="I170" s="120"/>
    </row>
    <row r="171" spans="1:9" s="1" customFormat="1" ht="60.75" customHeight="1">
      <c r="A171" s="40" t="s">
        <v>320</v>
      </c>
      <c r="B171" s="36" t="s">
        <v>64</v>
      </c>
      <c r="C171" s="36" t="s">
        <v>300</v>
      </c>
      <c r="D171" s="36" t="s">
        <v>175</v>
      </c>
      <c r="E171" s="37">
        <f>E172</f>
        <v>2613.2999999999997</v>
      </c>
      <c r="F171" s="37"/>
      <c r="G171" s="37">
        <f>G172</f>
        <v>2613.3</v>
      </c>
      <c r="H171" s="37"/>
      <c r="I171" s="120"/>
    </row>
    <row r="172" spans="1:9" s="1" customFormat="1" ht="22.5" customHeight="1">
      <c r="A172" s="40" t="s">
        <v>168</v>
      </c>
      <c r="B172" s="36" t="s">
        <v>64</v>
      </c>
      <c r="C172" s="36" t="s">
        <v>300</v>
      </c>
      <c r="D172" s="36" t="s">
        <v>167</v>
      </c>
      <c r="E172" s="37">
        <f>2202.3+270.6+44.7+95.7</f>
        <v>2613.2999999999997</v>
      </c>
      <c r="F172" s="37"/>
      <c r="G172" s="37">
        <v>2613.3</v>
      </c>
      <c r="H172" s="37"/>
      <c r="I172" s="120"/>
    </row>
    <row r="173" spans="1:9" s="1" customFormat="1" ht="63" customHeight="1">
      <c r="A173" s="55" t="s">
        <v>528</v>
      </c>
      <c r="B173" s="36" t="s">
        <v>64</v>
      </c>
      <c r="C173" s="36" t="s">
        <v>529</v>
      </c>
      <c r="D173" s="36"/>
      <c r="E173" s="37">
        <f>E174+E177</f>
        <v>5972.200000000001</v>
      </c>
      <c r="F173" s="37"/>
      <c r="G173" s="37">
        <f>G174+G177</f>
        <v>5168</v>
      </c>
      <c r="H173" s="37"/>
      <c r="I173" s="120"/>
    </row>
    <row r="174" spans="1:9" s="1" customFormat="1" ht="22.5" customHeight="1">
      <c r="A174" s="55" t="s">
        <v>155</v>
      </c>
      <c r="B174" s="36" t="s">
        <v>64</v>
      </c>
      <c r="C174" s="36" t="s">
        <v>529</v>
      </c>
      <c r="D174" s="36"/>
      <c r="E174" s="37">
        <f>E175</f>
        <v>5469.6</v>
      </c>
      <c r="F174" s="37"/>
      <c r="G174" s="37">
        <f>G175</f>
        <v>4799.5</v>
      </c>
      <c r="H174" s="37"/>
      <c r="I174" s="120"/>
    </row>
    <row r="175" spans="1:9" s="1" customFormat="1" ht="61.5" customHeight="1">
      <c r="A175" s="39" t="s">
        <v>320</v>
      </c>
      <c r="B175" s="36" t="s">
        <v>64</v>
      </c>
      <c r="C175" s="36" t="s">
        <v>529</v>
      </c>
      <c r="D175" s="36" t="s">
        <v>175</v>
      </c>
      <c r="E175" s="37">
        <f>E176</f>
        <v>5469.6</v>
      </c>
      <c r="F175" s="37"/>
      <c r="G175" s="37">
        <f>G176</f>
        <v>4799.5</v>
      </c>
      <c r="H175" s="37"/>
      <c r="I175" s="120"/>
    </row>
    <row r="176" spans="1:9" s="1" customFormat="1" ht="22.5" customHeight="1">
      <c r="A176" s="39" t="s">
        <v>168</v>
      </c>
      <c r="B176" s="36" t="s">
        <v>64</v>
      </c>
      <c r="C176" s="36" t="s">
        <v>529</v>
      </c>
      <c r="D176" s="36" t="s">
        <v>167</v>
      </c>
      <c r="E176" s="37">
        <f>E190+E183+E194+E201+E208+E215+E222+E229+E236+E243</f>
        <v>5469.6</v>
      </c>
      <c r="F176" s="37"/>
      <c r="G176" s="37">
        <f>G190+G183+G194+G201+G208+G215+G222+G229+G236+G243</f>
        <v>4799.5</v>
      </c>
      <c r="H176" s="37"/>
      <c r="I176" s="120"/>
    </row>
    <row r="177" spans="1:9" s="1" customFormat="1" ht="31.5" customHeight="1">
      <c r="A177" s="55" t="s">
        <v>68</v>
      </c>
      <c r="B177" s="36" t="s">
        <v>64</v>
      </c>
      <c r="C177" s="36" t="s">
        <v>529</v>
      </c>
      <c r="D177" s="36"/>
      <c r="E177" s="37">
        <f>E178</f>
        <v>502.6</v>
      </c>
      <c r="F177" s="37"/>
      <c r="G177" s="37">
        <f>G178</f>
        <v>368.5</v>
      </c>
      <c r="H177" s="37"/>
      <c r="I177" s="120"/>
    </row>
    <row r="178" spans="1:9" s="1" customFormat="1" ht="22.5" customHeight="1">
      <c r="A178" s="55" t="s">
        <v>170</v>
      </c>
      <c r="B178" s="36" t="s">
        <v>64</v>
      </c>
      <c r="C178" s="36" t="s">
        <v>529</v>
      </c>
      <c r="D178" s="36" t="s">
        <v>169</v>
      </c>
      <c r="E178" s="37">
        <f>E179</f>
        <v>502.6</v>
      </c>
      <c r="F178" s="37"/>
      <c r="G178" s="37">
        <f>G179</f>
        <v>368.5</v>
      </c>
      <c r="H178" s="37"/>
      <c r="I178" s="120"/>
    </row>
    <row r="179" spans="1:9" s="1" customFormat="1" ht="31.5" customHeight="1">
      <c r="A179" s="55" t="s">
        <v>172</v>
      </c>
      <c r="B179" s="36" t="s">
        <v>64</v>
      </c>
      <c r="C179" s="36" t="s">
        <v>529</v>
      </c>
      <c r="D179" s="36" t="s">
        <v>171</v>
      </c>
      <c r="E179" s="37">
        <f>E186+E197+E204+E211+E218+E225+E232+E239+E246</f>
        <v>502.6</v>
      </c>
      <c r="F179" s="37"/>
      <c r="G179" s="37">
        <f>G186+G197+G204+G211+G218+G225+G232+G239+G246</f>
        <v>368.5</v>
      </c>
      <c r="H179" s="37"/>
      <c r="I179" s="120"/>
    </row>
    <row r="180" spans="1:9" s="1" customFormat="1" ht="77.25" customHeight="1">
      <c r="A180" s="55" t="s">
        <v>565</v>
      </c>
      <c r="B180" s="36" t="s">
        <v>64</v>
      </c>
      <c r="C180" s="36" t="s">
        <v>566</v>
      </c>
      <c r="D180" s="36"/>
      <c r="E180" s="37">
        <f>E181+E184</f>
        <v>532.2</v>
      </c>
      <c r="F180" s="37"/>
      <c r="G180" s="37">
        <f>G181+G184</f>
        <v>532.2</v>
      </c>
      <c r="H180" s="37"/>
      <c r="I180" s="120"/>
    </row>
    <row r="181" spans="1:9" s="1" customFormat="1" ht="20.25" customHeight="1">
      <c r="A181" s="55" t="s">
        <v>155</v>
      </c>
      <c r="B181" s="36" t="s">
        <v>64</v>
      </c>
      <c r="C181" s="36" t="s">
        <v>566</v>
      </c>
      <c r="D181" s="36"/>
      <c r="E181" s="37">
        <f>E182</f>
        <v>443.5</v>
      </c>
      <c r="F181" s="37"/>
      <c r="G181" s="37">
        <f>G182</f>
        <v>443.5</v>
      </c>
      <c r="H181" s="37"/>
      <c r="I181" s="120"/>
    </row>
    <row r="182" spans="1:9" s="1" customFormat="1" ht="63.75" customHeight="1">
      <c r="A182" s="39" t="s">
        <v>320</v>
      </c>
      <c r="B182" s="36" t="s">
        <v>64</v>
      </c>
      <c r="C182" s="36" t="s">
        <v>566</v>
      </c>
      <c r="D182" s="36" t="s">
        <v>175</v>
      </c>
      <c r="E182" s="37">
        <f>E183</f>
        <v>443.5</v>
      </c>
      <c r="F182" s="37"/>
      <c r="G182" s="37">
        <f>G183</f>
        <v>443.5</v>
      </c>
      <c r="H182" s="37"/>
      <c r="I182" s="120"/>
    </row>
    <row r="183" spans="1:9" s="1" customFormat="1" ht="20.25" customHeight="1">
      <c r="A183" s="39" t="s">
        <v>168</v>
      </c>
      <c r="B183" s="36" t="s">
        <v>64</v>
      </c>
      <c r="C183" s="36" t="s">
        <v>566</v>
      </c>
      <c r="D183" s="36" t="s">
        <v>167</v>
      </c>
      <c r="E183" s="37">
        <f>443.5</f>
        <v>443.5</v>
      </c>
      <c r="F183" s="37"/>
      <c r="G183" s="37">
        <v>443.5</v>
      </c>
      <c r="H183" s="37"/>
      <c r="I183" s="120"/>
    </row>
    <row r="184" spans="1:9" s="1" customFormat="1" ht="31.5" customHeight="1">
      <c r="A184" s="55" t="s">
        <v>68</v>
      </c>
      <c r="B184" s="36" t="s">
        <v>64</v>
      </c>
      <c r="C184" s="36" t="s">
        <v>566</v>
      </c>
      <c r="D184" s="36"/>
      <c r="E184" s="37">
        <f>E185</f>
        <v>88.7</v>
      </c>
      <c r="F184" s="37"/>
      <c r="G184" s="37">
        <f>G185</f>
        <v>88.7</v>
      </c>
      <c r="H184" s="37"/>
      <c r="I184" s="120"/>
    </row>
    <row r="185" spans="1:9" s="1" customFormat="1" ht="20.25" customHeight="1">
      <c r="A185" s="55" t="s">
        <v>170</v>
      </c>
      <c r="B185" s="36" t="s">
        <v>64</v>
      </c>
      <c r="C185" s="36" t="s">
        <v>566</v>
      </c>
      <c r="D185" s="36" t="s">
        <v>169</v>
      </c>
      <c r="E185" s="37">
        <f>E186</f>
        <v>88.7</v>
      </c>
      <c r="F185" s="37"/>
      <c r="G185" s="37">
        <f>G186</f>
        <v>88.7</v>
      </c>
      <c r="H185" s="37"/>
      <c r="I185" s="120"/>
    </row>
    <row r="186" spans="1:9" s="1" customFormat="1" ht="31.5" customHeight="1">
      <c r="A186" s="55" t="s">
        <v>172</v>
      </c>
      <c r="B186" s="36" t="s">
        <v>64</v>
      </c>
      <c r="C186" s="36" t="s">
        <v>566</v>
      </c>
      <c r="D186" s="36" t="s">
        <v>171</v>
      </c>
      <c r="E186" s="37">
        <f>88.7</f>
        <v>88.7</v>
      </c>
      <c r="F186" s="37"/>
      <c r="G186" s="37">
        <v>88.7</v>
      </c>
      <c r="H186" s="37"/>
      <c r="I186" s="120"/>
    </row>
    <row r="187" spans="1:9" s="1" customFormat="1" ht="75" customHeight="1">
      <c r="A187" s="55" t="s">
        <v>531</v>
      </c>
      <c r="B187" s="36" t="s">
        <v>64</v>
      </c>
      <c r="C187" s="36" t="s">
        <v>530</v>
      </c>
      <c r="D187" s="36"/>
      <c r="E187" s="37">
        <f>E188</f>
        <v>2956.6</v>
      </c>
      <c r="F187" s="37"/>
      <c r="G187" s="37">
        <f>G188</f>
        <v>2956.6</v>
      </c>
      <c r="H187" s="37"/>
      <c r="I187" s="120"/>
    </row>
    <row r="188" spans="1:9" s="1" customFormat="1" ht="24.75" customHeight="1">
      <c r="A188" s="55" t="s">
        <v>155</v>
      </c>
      <c r="B188" s="36" t="s">
        <v>64</v>
      </c>
      <c r="C188" s="36" t="s">
        <v>530</v>
      </c>
      <c r="D188" s="36"/>
      <c r="E188" s="37">
        <f>E189</f>
        <v>2956.6</v>
      </c>
      <c r="F188" s="37"/>
      <c r="G188" s="37">
        <f>G189</f>
        <v>2956.6</v>
      </c>
      <c r="H188" s="37"/>
      <c r="I188" s="120"/>
    </row>
    <row r="189" spans="1:9" s="1" customFormat="1" ht="64.5" customHeight="1">
      <c r="A189" s="39" t="s">
        <v>320</v>
      </c>
      <c r="B189" s="36" t="s">
        <v>64</v>
      </c>
      <c r="C189" s="36" t="s">
        <v>530</v>
      </c>
      <c r="D189" s="36" t="s">
        <v>175</v>
      </c>
      <c r="E189" s="37">
        <f>E190</f>
        <v>2956.6</v>
      </c>
      <c r="F189" s="37"/>
      <c r="G189" s="37">
        <f>G190</f>
        <v>2956.6</v>
      </c>
      <c r="H189" s="37"/>
      <c r="I189" s="120"/>
    </row>
    <row r="190" spans="1:9" s="1" customFormat="1" ht="23.25" customHeight="1">
      <c r="A190" s="39" t="s">
        <v>168</v>
      </c>
      <c r="B190" s="36" t="s">
        <v>64</v>
      </c>
      <c r="C190" s="36" t="s">
        <v>530</v>
      </c>
      <c r="D190" s="36" t="s">
        <v>167</v>
      </c>
      <c r="E190" s="37">
        <f>2956.6</f>
        <v>2956.6</v>
      </c>
      <c r="F190" s="37"/>
      <c r="G190" s="37">
        <v>2956.6</v>
      </c>
      <c r="H190" s="37"/>
      <c r="I190" s="120"/>
    </row>
    <row r="191" spans="1:9" s="1" customFormat="1" ht="74.25" customHeight="1">
      <c r="A191" s="55" t="s">
        <v>549</v>
      </c>
      <c r="B191" s="36" t="s">
        <v>64</v>
      </c>
      <c r="C191" s="36" t="s">
        <v>550</v>
      </c>
      <c r="D191" s="36"/>
      <c r="E191" s="37">
        <f>E192+E195</f>
        <v>189.2</v>
      </c>
      <c r="F191" s="37"/>
      <c r="G191" s="37">
        <f>G192+G195</f>
        <v>189.2</v>
      </c>
      <c r="H191" s="37"/>
      <c r="I191" s="120"/>
    </row>
    <row r="192" spans="1:9" s="1" customFormat="1" ht="23.25" customHeight="1">
      <c r="A192" s="55" t="s">
        <v>155</v>
      </c>
      <c r="B192" s="36" t="s">
        <v>64</v>
      </c>
      <c r="C192" s="36" t="s">
        <v>550</v>
      </c>
      <c r="D192" s="36"/>
      <c r="E192" s="37">
        <f>E193</f>
        <v>157.7</v>
      </c>
      <c r="F192" s="37"/>
      <c r="G192" s="37">
        <f>G193</f>
        <v>157.7</v>
      </c>
      <c r="H192" s="37"/>
      <c r="I192" s="120"/>
    </row>
    <row r="193" spans="1:9" s="1" customFormat="1" ht="62.25" customHeight="1">
      <c r="A193" s="39" t="s">
        <v>320</v>
      </c>
      <c r="B193" s="36" t="s">
        <v>64</v>
      </c>
      <c r="C193" s="36" t="s">
        <v>550</v>
      </c>
      <c r="D193" s="36" t="s">
        <v>175</v>
      </c>
      <c r="E193" s="37">
        <f>E194</f>
        <v>157.7</v>
      </c>
      <c r="F193" s="37"/>
      <c r="G193" s="37">
        <f>G194</f>
        <v>157.7</v>
      </c>
      <c r="H193" s="37"/>
      <c r="I193" s="120"/>
    </row>
    <row r="194" spans="1:9" s="1" customFormat="1" ht="23.25" customHeight="1">
      <c r="A194" s="39" t="s">
        <v>168</v>
      </c>
      <c r="B194" s="36" t="s">
        <v>64</v>
      </c>
      <c r="C194" s="36" t="s">
        <v>550</v>
      </c>
      <c r="D194" s="36" t="s">
        <v>167</v>
      </c>
      <c r="E194" s="37">
        <f>157.7</f>
        <v>157.7</v>
      </c>
      <c r="F194" s="37"/>
      <c r="G194" s="37">
        <v>157.7</v>
      </c>
      <c r="H194" s="37"/>
      <c r="I194" s="120"/>
    </row>
    <row r="195" spans="1:9" s="1" customFormat="1" ht="31.5" customHeight="1">
      <c r="A195" s="55" t="s">
        <v>68</v>
      </c>
      <c r="B195" s="36" t="s">
        <v>64</v>
      </c>
      <c r="C195" s="36" t="s">
        <v>550</v>
      </c>
      <c r="D195" s="36"/>
      <c r="E195" s="37">
        <f>E196</f>
        <v>31.5</v>
      </c>
      <c r="F195" s="37"/>
      <c r="G195" s="37">
        <f>G196</f>
        <v>31.5</v>
      </c>
      <c r="H195" s="37"/>
      <c r="I195" s="120"/>
    </row>
    <row r="196" spans="1:9" s="1" customFormat="1" ht="23.25" customHeight="1">
      <c r="A196" s="55" t="s">
        <v>170</v>
      </c>
      <c r="B196" s="36" t="s">
        <v>64</v>
      </c>
      <c r="C196" s="36" t="s">
        <v>550</v>
      </c>
      <c r="D196" s="36" t="s">
        <v>169</v>
      </c>
      <c r="E196" s="37">
        <f>E197</f>
        <v>31.5</v>
      </c>
      <c r="F196" s="37"/>
      <c r="G196" s="37">
        <f>G197</f>
        <v>31.5</v>
      </c>
      <c r="H196" s="37"/>
      <c r="I196" s="120"/>
    </row>
    <row r="197" spans="1:9" s="1" customFormat="1" ht="31.5" customHeight="1">
      <c r="A197" s="55" t="s">
        <v>172</v>
      </c>
      <c r="B197" s="36" t="s">
        <v>64</v>
      </c>
      <c r="C197" s="36" t="s">
        <v>550</v>
      </c>
      <c r="D197" s="36" t="s">
        <v>171</v>
      </c>
      <c r="E197" s="37">
        <f>31.5</f>
        <v>31.5</v>
      </c>
      <c r="F197" s="37"/>
      <c r="G197" s="37">
        <v>31.5</v>
      </c>
      <c r="H197" s="37"/>
      <c r="I197" s="120"/>
    </row>
    <row r="198" spans="1:9" s="1" customFormat="1" ht="76.5" customHeight="1">
      <c r="A198" s="55" t="s">
        <v>551</v>
      </c>
      <c r="B198" s="36" t="s">
        <v>64</v>
      </c>
      <c r="C198" s="36" t="s">
        <v>552</v>
      </c>
      <c r="D198" s="36"/>
      <c r="E198" s="37">
        <f>E199+E202</f>
        <v>804.2</v>
      </c>
      <c r="F198" s="37"/>
      <c r="G198" s="37">
        <f>G199+G202</f>
        <v>0</v>
      </c>
      <c r="H198" s="37"/>
      <c r="I198" s="120"/>
    </row>
    <row r="199" spans="1:9" s="1" customFormat="1" ht="23.25" customHeight="1">
      <c r="A199" s="55" t="s">
        <v>155</v>
      </c>
      <c r="B199" s="36" t="s">
        <v>64</v>
      </c>
      <c r="C199" s="36" t="s">
        <v>552</v>
      </c>
      <c r="D199" s="36"/>
      <c r="E199" s="37">
        <f>E200</f>
        <v>670.1</v>
      </c>
      <c r="F199" s="37"/>
      <c r="G199" s="37">
        <f>G200</f>
        <v>0</v>
      </c>
      <c r="H199" s="37"/>
      <c r="I199" s="120"/>
    </row>
    <row r="200" spans="1:9" s="1" customFormat="1" ht="68.25" customHeight="1">
      <c r="A200" s="39" t="s">
        <v>320</v>
      </c>
      <c r="B200" s="36" t="s">
        <v>64</v>
      </c>
      <c r="C200" s="36" t="s">
        <v>552</v>
      </c>
      <c r="D200" s="36" t="s">
        <v>175</v>
      </c>
      <c r="E200" s="37">
        <f>E201</f>
        <v>670.1</v>
      </c>
      <c r="F200" s="37"/>
      <c r="G200" s="37">
        <f>G201</f>
        <v>0</v>
      </c>
      <c r="H200" s="37"/>
      <c r="I200" s="120"/>
    </row>
    <row r="201" spans="1:9" s="1" customFormat="1" ht="23.25" customHeight="1">
      <c r="A201" s="39" t="s">
        <v>168</v>
      </c>
      <c r="B201" s="36" t="s">
        <v>64</v>
      </c>
      <c r="C201" s="36" t="s">
        <v>552</v>
      </c>
      <c r="D201" s="36" t="s">
        <v>167</v>
      </c>
      <c r="E201" s="37">
        <v>670.1</v>
      </c>
      <c r="F201" s="37"/>
      <c r="G201" s="37">
        <v>0</v>
      </c>
      <c r="H201" s="37"/>
      <c r="I201" s="120"/>
    </row>
    <row r="202" spans="1:9" s="1" customFormat="1" ht="32.25" customHeight="1">
      <c r="A202" s="55" t="s">
        <v>68</v>
      </c>
      <c r="B202" s="36" t="s">
        <v>64</v>
      </c>
      <c r="C202" s="36" t="s">
        <v>552</v>
      </c>
      <c r="D202" s="36"/>
      <c r="E202" s="37">
        <f>E203</f>
        <v>134.1</v>
      </c>
      <c r="F202" s="37"/>
      <c r="G202" s="37">
        <f>G203</f>
        <v>0</v>
      </c>
      <c r="H202" s="37"/>
      <c r="I202" s="120"/>
    </row>
    <row r="203" spans="1:9" s="1" customFormat="1" ht="23.25" customHeight="1">
      <c r="A203" s="55" t="s">
        <v>170</v>
      </c>
      <c r="B203" s="36" t="s">
        <v>64</v>
      </c>
      <c r="C203" s="36" t="s">
        <v>552</v>
      </c>
      <c r="D203" s="36" t="s">
        <v>169</v>
      </c>
      <c r="E203" s="37">
        <f>E204</f>
        <v>134.1</v>
      </c>
      <c r="F203" s="37"/>
      <c r="G203" s="37">
        <f>G204</f>
        <v>0</v>
      </c>
      <c r="H203" s="37"/>
      <c r="I203" s="120"/>
    </row>
    <row r="204" spans="1:9" s="1" customFormat="1" ht="32.25" customHeight="1">
      <c r="A204" s="55" t="s">
        <v>172</v>
      </c>
      <c r="B204" s="36" t="s">
        <v>64</v>
      </c>
      <c r="C204" s="36" t="s">
        <v>552</v>
      </c>
      <c r="D204" s="36" t="s">
        <v>171</v>
      </c>
      <c r="E204" s="37">
        <v>134.1</v>
      </c>
      <c r="F204" s="37"/>
      <c r="G204" s="37">
        <v>0</v>
      </c>
      <c r="H204" s="37"/>
      <c r="I204" s="120"/>
    </row>
    <row r="205" spans="1:9" s="1" customFormat="1" ht="75.75" customHeight="1">
      <c r="A205" s="55" t="s">
        <v>553</v>
      </c>
      <c r="B205" s="36" t="s">
        <v>64</v>
      </c>
      <c r="C205" s="36" t="s">
        <v>554</v>
      </c>
      <c r="D205" s="36"/>
      <c r="E205" s="37">
        <f>E206+E209</f>
        <v>272</v>
      </c>
      <c r="F205" s="37"/>
      <c r="G205" s="37">
        <f>G206+G209</f>
        <v>272</v>
      </c>
      <c r="H205" s="37"/>
      <c r="I205" s="120"/>
    </row>
    <row r="206" spans="1:9" s="1" customFormat="1" ht="21.75" customHeight="1">
      <c r="A206" s="55" t="s">
        <v>155</v>
      </c>
      <c r="B206" s="36" t="s">
        <v>64</v>
      </c>
      <c r="C206" s="36" t="s">
        <v>554</v>
      </c>
      <c r="D206" s="36"/>
      <c r="E206" s="37">
        <f>E207</f>
        <v>226.7</v>
      </c>
      <c r="F206" s="37"/>
      <c r="G206" s="37">
        <f>G207</f>
        <v>226.7</v>
      </c>
      <c r="H206" s="37"/>
      <c r="I206" s="120"/>
    </row>
    <row r="207" spans="1:9" s="1" customFormat="1" ht="62.25" customHeight="1">
      <c r="A207" s="39" t="s">
        <v>320</v>
      </c>
      <c r="B207" s="36" t="s">
        <v>64</v>
      </c>
      <c r="C207" s="36" t="s">
        <v>554</v>
      </c>
      <c r="D207" s="36" t="s">
        <v>175</v>
      </c>
      <c r="E207" s="37">
        <f>E208</f>
        <v>226.7</v>
      </c>
      <c r="F207" s="37"/>
      <c r="G207" s="37">
        <f>G208</f>
        <v>226.7</v>
      </c>
      <c r="H207" s="37"/>
      <c r="I207" s="120"/>
    </row>
    <row r="208" spans="1:9" s="1" customFormat="1" ht="23.25" customHeight="1">
      <c r="A208" s="39" t="s">
        <v>168</v>
      </c>
      <c r="B208" s="36" t="s">
        <v>64</v>
      </c>
      <c r="C208" s="36" t="s">
        <v>554</v>
      </c>
      <c r="D208" s="36" t="s">
        <v>167</v>
      </c>
      <c r="E208" s="37">
        <f>226.7</f>
        <v>226.7</v>
      </c>
      <c r="F208" s="37"/>
      <c r="G208" s="37">
        <v>226.7</v>
      </c>
      <c r="H208" s="37"/>
      <c r="I208" s="120"/>
    </row>
    <row r="209" spans="1:9" s="1" customFormat="1" ht="32.25" customHeight="1">
      <c r="A209" s="55" t="s">
        <v>68</v>
      </c>
      <c r="B209" s="36" t="s">
        <v>64</v>
      </c>
      <c r="C209" s="36" t="s">
        <v>554</v>
      </c>
      <c r="D209" s="36"/>
      <c r="E209" s="37">
        <f>E210</f>
        <v>45.3</v>
      </c>
      <c r="F209" s="37"/>
      <c r="G209" s="37">
        <f>G210</f>
        <v>45.3</v>
      </c>
      <c r="H209" s="37"/>
      <c r="I209" s="120"/>
    </row>
    <row r="210" spans="1:9" s="1" customFormat="1" ht="24.75" customHeight="1">
      <c r="A210" s="55" t="s">
        <v>170</v>
      </c>
      <c r="B210" s="36" t="s">
        <v>64</v>
      </c>
      <c r="C210" s="36" t="s">
        <v>554</v>
      </c>
      <c r="D210" s="36" t="s">
        <v>169</v>
      </c>
      <c r="E210" s="37">
        <f>E211</f>
        <v>45.3</v>
      </c>
      <c r="F210" s="37"/>
      <c r="G210" s="37">
        <f>G211</f>
        <v>45.3</v>
      </c>
      <c r="H210" s="37"/>
      <c r="I210" s="120"/>
    </row>
    <row r="211" spans="1:9" s="1" customFormat="1" ht="32.25" customHeight="1">
      <c r="A211" s="55" t="s">
        <v>172</v>
      </c>
      <c r="B211" s="36" t="s">
        <v>64</v>
      </c>
      <c r="C211" s="36" t="s">
        <v>554</v>
      </c>
      <c r="D211" s="36" t="s">
        <v>171</v>
      </c>
      <c r="E211" s="37">
        <f>45.3</f>
        <v>45.3</v>
      </c>
      <c r="F211" s="37"/>
      <c r="G211" s="37">
        <v>45.3</v>
      </c>
      <c r="H211" s="37"/>
      <c r="I211" s="120"/>
    </row>
    <row r="212" spans="1:9" s="1" customFormat="1" ht="73.5" customHeight="1">
      <c r="A212" s="55" t="s">
        <v>555</v>
      </c>
      <c r="B212" s="36" t="s">
        <v>64</v>
      </c>
      <c r="C212" s="36" t="s">
        <v>556</v>
      </c>
      <c r="D212" s="36"/>
      <c r="E212" s="37">
        <f>E213+E216</f>
        <v>177.4</v>
      </c>
      <c r="F212" s="37"/>
      <c r="G212" s="37">
        <f>G213+G216</f>
        <v>177.4</v>
      </c>
      <c r="H212" s="37"/>
      <c r="I212" s="120"/>
    </row>
    <row r="213" spans="1:9" s="1" customFormat="1" ht="23.25" customHeight="1">
      <c r="A213" s="55" t="s">
        <v>155</v>
      </c>
      <c r="B213" s="36" t="s">
        <v>64</v>
      </c>
      <c r="C213" s="36" t="s">
        <v>556</v>
      </c>
      <c r="D213" s="36"/>
      <c r="E213" s="37">
        <f>E214</f>
        <v>147.8</v>
      </c>
      <c r="F213" s="37"/>
      <c r="G213" s="37">
        <f>G214</f>
        <v>147.8</v>
      </c>
      <c r="H213" s="37"/>
      <c r="I213" s="120"/>
    </row>
    <row r="214" spans="1:9" s="1" customFormat="1" ht="60.75" customHeight="1">
      <c r="A214" s="39" t="s">
        <v>320</v>
      </c>
      <c r="B214" s="36" t="s">
        <v>64</v>
      </c>
      <c r="C214" s="36" t="s">
        <v>556</v>
      </c>
      <c r="D214" s="36" t="s">
        <v>175</v>
      </c>
      <c r="E214" s="37">
        <f>E215</f>
        <v>147.8</v>
      </c>
      <c r="F214" s="37"/>
      <c r="G214" s="37">
        <f>G215</f>
        <v>147.8</v>
      </c>
      <c r="H214" s="37"/>
      <c r="I214" s="120"/>
    </row>
    <row r="215" spans="1:9" s="1" customFormat="1" ht="24" customHeight="1">
      <c r="A215" s="39" t="s">
        <v>168</v>
      </c>
      <c r="B215" s="36" t="s">
        <v>64</v>
      </c>
      <c r="C215" s="36" t="s">
        <v>556</v>
      </c>
      <c r="D215" s="36" t="s">
        <v>167</v>
      </c>
      <c r="E215" s="37">
        <f>147.8</f>
        <v>147.8</v>
      </c>
      <c r="F215" s="37"/>
      <c r="G215" s="37">
        <v>147.8</v>
      </c>
      <c r="H215" s="37"/>
      <c r="I215" s="120"/>
    </row>
    <row r="216" spans="1:9" s="1" customFormat="1" ht="32.25" customHeight="1">
      <c r="A216" s="55" t="s">
        <v>68</v>
      </c>
      <c r="B216" s="36" t="s">
        <v>64</v>
      </c>
      <c r="C216" s="36" t="s">
        <v>556</v>
      </c>
      <c r="D216" s="36"/>
      <c r="E216" s="37">
        <f>E217</f>
        <v>29.6</v>
      </c>
      <c r="F216" s="37"/>
      <c r="G216" s="37">
        <f>G217</f>
        <v>29.6</v>
      </c>
      <c r="H216" s="37"/>
      <c r="I216" s="120"/>
    </row>
    <row r="217" spans="1:9" s="1" customFormat="1" ht="24" customHeight="1">
      <c r="A217" s="55" t="s">
        <v>170</v>
      </c>
      <c r="B217" s="36" t="s">
        <v>64</v>
      </c>
      <c r="C217" s="36" t="s">
        <v>556</v>
      </c>
      <c r="D217" s="36" t="s">
        <v>169</v>
      </c>
      <c r="E217" s="37">
        <f>E218</f>
        <v>29.6</v>
      </c>
      <c r="F217" s="37"/>
      <c r="G217" s="37">
        <f>G218</f>
        <v>29.6</v>
      </c>
      <c r="H217" s="37"/>
      <c r="I217" s="120"/>
    </row>
    <row r="218" spans="1:9" s="1" customFormat="1" ht="32.25" customHeight="1">
      <c r="A218" s="55" t="s">
        <v>172</v>
      </c>
      <c r="B218" s="36" t="s">
        <v>64</v>
      </c>
      <c r="C218" s="36" t="s">
        <v>556</v>
      </c>
      <c r="D218" s="36" t="s">
        <v>171</v>
      </c>
      <c r="E218" s="37">
        <f>29.6</f>
        <v>29.6</v>
      </c>
      <c r="F218" s="37"/>
      <c r="G218" s="37">
        <v>29.6</v>
      </c>
      <c r="H218" s="37"/>
      <c r="I218" s="120"/>
    </row>
    <row r="219" spans="1:9" s="1" customFormat="1" ht="75.75" customHeight="1">
      <c r="A219" s="55" t="s">
        <v>557</v>
      </c>
      <c r="B219" s="36" t="s">
        <v>64</v>
      </c>
      <c r="C219" s="36" t="s">
        <v>558</v>
      </c>
      <c r="D219" s="36"/>
      <c r="E219" s="37">
        <f>E220+E223</f>
        <v>201</v>
      </c>
      <c r="F219" s="37"/>
      <c r="G219" s="37">
        <f>G220+G223</f>
        <v>201</v>
      </c>
      <c r="H219" s="37"/>
      <c r="I219" s="120"/>
    </row>
    <row r="220" spans="1:9" s="1" customFormat="1" ht="22.5" customHeight="1">
      <c r="A220" s="55" t="s">
        <v>155</v>
      </c>
      <c r="B220" s="36" t="s">
        <v>64</v>
      </c>
      <c r="C220" s="36" t="s">
        <v>558</v>
      </c>
      <c r="D220" s="36"/>
      <c r="E220" s="37">
        <f>E221</f>
        <v>167.5</v>
      </c>
      <c r="F220" s="37"/>
      <c r="G220" s="37">
        <f>G221</f>
        <v>167.5</v>
      </c>
      <c r="H220" s="37"/>
      <c r="I220" s="120"/>
    </row>
    <row r="221" spans="1:9" s="1" customFormat="1" ht="62.25" customHeight="1">
      <c r="A221" s="39" t="s">
        <v>320</v>
      </c>
      <c r="B221" s="36" t="s">
        <v>64</v>
      </c>
      <c r="C221" s="36" t="s">
        <v>558</v>
      </c>
      <c r="D221" s="36" t="s">
        <v>175</v>
      </c>
      <c r="E221" s="37">
        <f>E222</f>
        <v>167.5</v>
      </c>
      <c r="F221" s="37"/>
      <c r="G221" s="37">
        <f>G222</f>
        <v>167.5</v>
      </c>
      <c r="H221" s="37"/>
      <c r="I221" s="120"/>
    </row>
    <row r="222" spans="1:9" s="1" customFormat="1" ht="24.75" customHeight="1">
      <c r="A222" s="39" t="s">
        <v>168</v>
      </c>
      <c r="B222" s="36" t="s">
        <v>64</v>
      </c>
      <c r="C222" s="36" t="s">
        <v>558</v>
      </c>
      <c r="D222" s="36" t="s">
        <v>167</v>
      </c>
      <c r="E222" s="37">
        <f>167.5</f>
        <v>167.5</v>
      </c>
      <c r="F222" s="37"/>
      <c r="G222" s="37">
        <v>167.5</v>
      </c>
      <c r="H222" s="37"/>
      <c r="I222" s="120"/>
    </row>
    <row r="223" spans="1:9" s="1" customFormat="1" ht="32.25" customHeight="1">
      <c r="A223" s="55" t="s">
        <v>68</v>
      </c>
      <c r="B223" s="36" t="s">
        <v>64</v>
      </c>
      <c r="C223" s="36" t="s">
        <v>558</v>
      </c>
      <c r="D223" s="36"/>
      <c r="E223" s="37">
        <f>E224</f>
        <v>33.5</v>
      </c>
      <c r="F223" s="37"/>
      <c r="G223" s="37">
        <f>G224</f>
        <v>33.5</v>
      </c>
      <c r="H223" s="37"/>
      <c r="I223" s="120"/>
    </row>
    <row r="224" spans="1:9" s="1" customFormat="1" ht="21.75" customHeight="1">
      <c r="A224" s="55" t="s">
        <v>170</v>
      </c>
      <c r="B224" s="36" t="s">
        <v>64</v>
      </c>
      <c r="C224" s="36" t="s">
        <v>558</v>
      </c>
      <c r="D224" s="36" t="s">
        <v>169</v>
      </c>
      <c r="E224" s="37">
        <f>E225</f>
        <v>33.5</v>
      </c>
      <c r="F224" s="37"/>
      <c r="G224" s="37">
        <f>G225</f>
        <v>33.5</v>
      </c>
      <c r="H224" s="37"/>
      <c r="I224" s="120"/>
    </row>
    <row r="225" spans="1:9" s="1" customFormat="1" ht="32.25" customHeight="1">
      <c r="A225" s="55" t="s">
        <v>172</v>
      </c>
      <c r="B225" s="36" t="s">
        <v>64</v>
      </c>
      <c r="C225" s="36" t="s">
        <v>558</v>
      </c>
      <c r="D225" s="36" t="s">
        <v>171</v>
      </c>
      <c r="E225" s="37">
        <f>33.5</f>
        <v>33.5</v>
      </c>
      <c r="F225" s="37"/>
      <c r="G225" s="37">
        <v>33.5</v>
      </c>
      <c r="H225" s="37"/>
      <c r="I225" s="120"/>
    </row>
    <row r="226" spans="1:9" s="1" customFormat="1" ht="74.25" customHeight="1">
      <c r="A226" s="55" t="s">
        <v>559</v>
      </c>
      <c r="B226" s="36" t="s">
        <v>64</v>
      </c>
      <c r="C226" s="36" t="s">
        <v>560</v>
      </c>
      <c r="D226" s="36"/>
      <c r="E226" s="37">
        <f>E227+E230</f>
        <v>236.5</v>
      </c>
      <c r="F226" s="37"/>
      <c r="G226" s="37">
        <f>G227+G230</f>
        <v>236.5</v>
      </c>
      <c r="H226" s="37"/>
      <c r="I226" s="120"/>
    </row>
    <row r="227" spans="1:9" s="1" customFormat="1" ht="21" customHeight="1">
      <c r="A227" s="55" t="s">
        <v>155</v>
      </c>
      <c r="B227" s="36" t="s">
        <v>64</v>
      </c>
      <c r="C227" s="36" t="s">
        <v>560</v>
      </c>
      <c r="D227" s="36"/>
      <c r="E227" s="37">
        <f>E228</f>
        <v>197.1</v>
      </c>
      <c r="F227" s="37"/>
      <c r="G227" s="37">
        <f>G228</f>
        <v>197.1</v>
      </c>
      <c r="H227" s="37"/>
      <c r="I227" s="120"/>
    </row>
    <row r="228" spans="1:9" s="1" customFormat="1" ht="60" customHeight="1">
      <c r="A228" s="39" t="s">
        <v>320</v>
      </c>
      <c r="B228" s="36" t="s">
        <v>64</v>
      </c>
      <c r="C228" s="36" t="s">
        <v>560</v>
      </c>
      <c r="D228" s="36" t="s">
        <v>175</v>
      </c>
      <c r="E228" s="37">
        <f>E229</f>
        <v>197.1</v>
      </c>
      <c r="F228" s="37"/>
      <c r="G228" s="37">
        <f>G229</f>
        <v>197.1</v>
      </c>
      <c r="H228" s="37"/>
      <c r="I228" s="120"/>
    </row>
    <row r="229" spans="1:9" s="1" customFormat="1" ht="19.5" customHeight="1">
      <c r="A229" s="39" t="s">
        <v>168</v>
      </c>
      <c r="B229" s="36" t="s">
        <v>64</v>
      </c>
      <c r="C229" s="36" t="s">
        <v>560</v>
      </c>
      <c r="D229" s="36" t="s">
        <v>167</v>
      </c>
      <c r="E229" s="37">
        <f>197.1</f>
        <v>197.1</v>
      </c>
      <c r="F229" s="37"/>
      <c r="G229" s="37">
        <v>197.1</v>
      </c>
      <c r="H229" s="37"/>
      <c r="I229" s="120"/>
    </row>
    <row r="230" spans="1:9" s="1" customFormat="1" ht="32.25" customHeight="1">
      <c r="A230" s="55" t="s">
        <v>68</v>
      </c>
      <c r="B230" s="36" t="s">
        <v>64</v>
      </c>
      <c r="C230" s="36" t="s">
        <v>560</v>
      </c>
      <c r="D230" s="36"/>
      <c r="E230" s="37">
        <f>E231</f>
        <v>39.4</v>
      </c>
      <c r="F230" s="37"/>
      <c r="G230" s="37">
        <f>G231</f>
        <v>39.4</v>
      </c>
      <c r="H230" s="37"/>
      <c r="I230" s="120"/>
    </row>
    <row r="231" spans="1:9" s="1" customFormat="1" ht="20.25" customHeight="1">
      <c r="A231" s="55" t="s">
        <v>170</v>
      </c>
      <c r="B231" s="36" t="s">
        <v>64</v>
      </c>
      <c r="C231" s="36" t="s">
        <v>560</v>
      </c>
      <c r="D231" s="36" t="s">
        <v>169</v>
      </c>
      <c r="E231" s="37">
        <f>E232</f>
        <v>39.4</v>
      </c>
      <c r="F231" s="37"/>
      <c r="G231" s="37">
        <f>G232</f>
        <v>39.4</v>
      </c>
      <c r="H231" s="37"/>
      <c r="I231" s="120"/>
    </row>
    <row r="232" spans="1:9" s="1" customFormat="1" ht="32.25" customHeight="1">
      <c r="A232" s="55" t="s">
        <v>172</v>
      </c>
      <c r="B232" s="36" t="s">
        <v>64</v>
      </c>
      <c r="C232" s="36" t="s">
        <v>560</v>
      </c>
      <c r="D232" s="36" t="s">
        <v>171</v>
      </c>
      <c r="E232" s="37">
        <f>39.4</f>
        <v>39.4</v>
      </c>
      <c r="F232" s="37"/>
      <c r="G232" s="37">
        <v>39.4</v>
      </c>
      <c r="H232" s="37"/>
      <c r="I232" s="120"/>
    </row>
    <row r="233" spans="1:9" s="1" customFormat="1" ht="77.25" customHeight="1">
      <c r="A233" s="55" t="s">
        <v>561</v>
      </c>
      <c r="B233" s="36" t="s">
        <v>64</v>
      </c>
      <c r="C233" s="36" t="s">
        <v>562</v>
      </c>
      <c r="D233" s="36"/>
      <c r="E233" s="37">
        <f>E234+E237</f>
        <v>201</v>
      </c>
      <c r="F233" s="37"/>
      <c r="G233" s="37">
        <f>G234+G237</f>
        <v>201</v>
      </c>
      <c r="H233" s="37"/>
      <c r="I233" s="120"/>
    </row>
    <row r="234" spans="1:9" s="1" customFormat="1" ht="22.5" customHeight="1">
      <c r="A234" s="55" t="s">
        <v>155</v>
      </c>
      <c r="B234" s="36" t="s">
        <v>64</v>
      </c>
      <c r="C234" s="36" t="s">
        <v>562</v>
      </c>
      <c r="D234" s="36"/>
      <c r="E234" s="37">
        <f>E235</f>
        <v>167.5</v>
      </c>
      <c r="F234" s="37"/>
      <c r="G234" s="37">
        <f>G235</f>
        <v>167.5</v>
      </c>
      <c r="H234" s="37"/>
      <c r="I234" s="120"/>
    </row>
    <row r="235" spans="1:9" s="1" customFormat="1" ht="58.5" customHeight="1">
      <c r="A235" s="39" t="s">
        <v>320</v>
      </c>
      <c r="B235" s="36" t="s">
        <v>64</v>
      </c>
      <c r="C235" s="36" t="s">
        <v>562</v>
      </c>
      <c r="D235" s="36" t="s">
        <v>175</v>
      </c>
      <c r="E235" s="37">
        <f>E236</f>
        <v>167.5</v>
      </c>
      <c r="F235" s="37"/>
      <c r="G235" s="37">
        <f>G236</f>
        <v>167.5</v>
      </c>
      <c r="H235" s="37"/>
      <c r="I235" s="120"/>
    </row>
    <row r="236" spans="1:9" s="1" customFormat="1" ht="20.25" customHeight="1">
      <c r="A236" s="39" t="s">
        <v>168</v>
      </c>
      <c r="B236" s="36" t="s">
        <v>64</v>
      </c>
      <c r="C236" s="36" t="s">
        <v>562</v>
      </c>
      <c r="D236" s="36" t="s">
        <v>167</v>
      </c>
      <c r="E236" s="37">
        <f>167.5</f>
        <v>167.5</v>
      </c>
      <c r="F236" s="37"/>
      <c r="G236" s="37">
        <v>167.5</v>
      </c>
      <c r="H236" s="37"/>
      <c r="I236" s="120"/>
    </row>
    <row r="237" spans="1:9" s="1" customFormat="1" ht="32.25" customHeight="1">
      <c r="A237" s="55" t="s">
        <v>68</v>
      </c>
      <c r="B237" s="36" t="s">
        <v>64</v>
      </c>
      <c r="C237" s="36" t="s">
        <v>562</v>
      </c>
      <c r="D237" s="36"/>
      <c r="E237" s="37">
        <f>E238</f>
        <v>33.5</v>
      </c>
      <c r="F237" s="37"/>
      <c r="G237" s="37">
        <f>G238</f>
        <v>33.5</v>
      </c>
      <c r="H237" s="37"/>
      <c r="I237" s="120"/>
    </row>
    <row r="238" spans="1:9" s="1" customFormat="1" ht="16.5" customHeight="1">
      <c r="A238" s="55" t="s">
        <v>170</v>
      </c>
      <c r="B238" s="36" t="s">
        <v>64</v>
      </c>
      <c r="C238" s="36" t="s">
        <v>562</v>
      </c>
      <c r="D238" s="36" t="s">
        <v>169</v>
      </c>
      <c r="E238" s="37">
        <f>E239</f>
        <v>33.5</v>
      </c>
      <c r="F238" s="37"/>
      <c r="G238" s="37">
        <f>G239</f>
        <v>33.5</v>
      </c>
      <c r="H238" s="37"/>
      <c r="I238" s="120"/>
    </row>
    <row r="239" spans="1:9" s="1" customFormat="1" ht="32.25" customHeight="1">
      <c r="A239" s="55" t="s">
        <v>172</v>
      </c>
      <c r="B239" s="36" t="s">
        <v>64</v>
      </c>
      <c r="C239" s="36" t="s">
        <v>562</v>
      </c>
      <c r="D239" s="36" t="s">
        <v>171</v>
      </c>
      <c r="E239" s="37">
        <f>33.5</f>
        <v>33.5</v>
      </c>
      <c r="F239" s="37"/>
      <c r="G239" s="37">
        <v>33.5</v>
      </c>
      <c r="H239" s="37"/>
      <c r="I239" s="120"/>
    </row>
    <row r="240" spans="1:9" s="1" customFormat="1" ht="75.75" customHeight="1">
      <c r="A240" s="55" t="s">
        <v>563</v>
      </c>
      <c r="B240" s="36" t="s">
        <v>64</v>
      </c>
      <c r="C240" s="36" t="s">
        <v>564</v>
      </c>
      <c r="D240" s="36"/>
      <c r="E240" s="37">
        <f>E241+E244</f>
        <v>402.1</v>
      </c>
      <c r="F240" s="37"/>
      <c r="G240" s="37">
        <f>G241+G244</f>
        <v>402.1</v>
      </c>
      <c r="H240" s="37"/>
      <c r="I240" s="120"/>
    </row>
    <row r="241" spans="1:9" s="1" customFormat="1" ht="20.25" customHeight="1">
      <c r="A241" s="55" t="s">
        <v>155</v>
      </c>
      <c r="B241" s="36" t="s">
        <v>64</v>
      </c>
      <c r="C241" s="36" t="s">
        <v>564</v>
      </c>
      <c r="D241" s="36"/>
      <c r="E241" s="37">
        <f>E242</f>
        <v>335.1</v>
      </c>
      <c r="F241" s="37"/>
      <c r="G241" s="37">
        <f>G242</f>
        <v>335.1</v>
      </c>
      <c r="H241" s="37"/>
      <c r="I241" s="120"/>
    </row>
    <row r="242" spans="1:9" s="1" customFormat="1" ht="60.75" customHeight="1">
      <c r="A242" s="39" t="s">
        <v>320</v>
      </c>
      <c r="B242" s="36" t="s">
        <v>64</v>
      </c>
      <c r="C242" s="36" t="s">
        <v>564</v>
      </c>
      <c r="D242" s="36" t="s">
        <v>175</v>
      </c>
      <c r="E242" s="37">
        <f>E243</f>
        <v>335.1</v>
      </c>
      <c r="F242" s="37"/>
      <c r="G242" s="37">
        <f>G243</f>
        <v>335.1</v>
      </c>
      <c r="H242" s="37"/>
      <c r="I242" s="120"/>
    </row>
    <row r="243" spans="1:9" s="1" customFormat="1" ht="19.5" customHeight="1">
      <c r="A243" s="39" t="s">
        <v>168</v>
      </c>
      <c r="B243" s="36" t="s">
        <v>64</v>
      </c>
      <c r="C243" s="36" t="s">
        <v>564</v>
      </c>
      <c r="D243" s="36" t="s">
        <v>167</v>
      </c>
      <c r="E243" s="37">
        <f>339.1-4</f>
        <v>335.1</v>
      </c>
      <c r="F243" s="37"/>
      <c r="G243" s="37">
        <v>335.1</v>
      </c>
      <c r="H243" s="37"/>
      <c r="I243" s="120"/>
    </row>
    <row r="244" spans="1:9" s="1" customFormat="1" ht="32.25" customHeight="1">
      <c r="A244" s="55" t="s">
        <v>68</v>
      </c>
      <c r="B244" s="36" t="s">
        <v>64</v>
      </c>
      <c r="C244" s="36" t="s">
        <v>564</v>
      </c>
      <c r="D244" s="36"/>
      <c r="E244" s="37">
        <f>E245</f>
        <v>67</v>
      </c>
      <c r="F244" s="37"/>
      <c r="G244" s="37">
        <f>G245</f>
        <v>67</v>
      </c>
      <c r="H244" s="37"/>
      <c r="I244" s="120"/>
    </row>
    <row r="245" spans="1:9" s="1" customFormat="1" ht="20.25" customHeight="1">
      <c r="A245" s="55" t="s">
        <v>170</v>
      </c>
      <c r="B245" s="36" t="s">
        <v>64</v>
      </c>
      <c r="C245" s="36" t="s">
        <v>564</v>
      </c>
      <c r="D245" s="36" t="s">
        <v>169</v>
      </c>
      <c r="E245" s="37">
        <f>E246</f>
        <v>67</v>
      </c>
      <c r="F245" s="37"/>
      <c r="G245" s="37">
        <f>G246</f>
        <v>67</v>
      </c>
      <c r="H245" s="37"/>
      <c r="I245" s="120"/>
    </row>
    <row r="246" spans="1:9" s="1" customFormat="1" ht="32.25" customHeight="1">
      <c r="A246" s="55" t="s">
        <v>172</v>
      </c>
      <c r="B246" s="36" t="s">
        <v>64</v>
      </c>
      <c r="C246" s="36" t="s">
        <v>564</v>
      </c>
      <c r="D246" s="36" t="s">
        <v>171</v>
      </c>
      <c r="E246" s="37">
        <f>67</f>
        <v>67</v>
      </c>
      <c r="F246" s="37"/>
      <c r="G246" s="37">
        <v>67</v>
      </c>
      <c r="H246" s="37"/>
      <c r="I246" s="120"/>
    </row>
    <row r="247" spans="1:9" s="1" customFormat="1" ht="16.5" customHeight="1">
      <c r="A247" s="46" t="s">
        <v>106</v>
      </c>
      <c r="B247" s="60" t="s">
        <v>145</v>
      </c>
      <c r="C247" s="60"/>
      <c r="D247" s="60"/>
      <c r="E247" s="11">
        <f>E248</f>
        <v>3595.4</v>
      </c>
      <c r="F247" s="37"/>
      <c r="G247" s="11">
        <f>G248</f>
        <v>0</v>
      </c>
      <c r="H247" s="37"/>
      <c r="I247" s="16">
        <f>G247/E247*100</f>
        <v>0</v>
      </c>
    </row>
    <row r="248" spans="1:9" s="1" customFormat="1" ht="17.25" customHeight="1">
      <c r="A248" s="38" t="s">
        <v>58</v>
      </c>
      <c r="B248" s="36" t="s">
        <v>145</v>
      </c>
      <c r="C248" s="44" t="s">
        <v>35</v>
      </c>
      <c r="D248" s="36"/>
      <c r="E248" s="37">
        <f>E249</f>
        <v>3595.4</v>
      </c>
      <c r="F248" s="37"/>
      <c r="G248" s="37">
        <f>G249</f>
        <v>0</v>
      </c>
      <c r="H248" s="37"/>
      <c r="I248" s="120"/>
    </row>
    <row r="249" spans="1:9" s="1" customFormat="1" ht="17.25" customHeight="1">
      <c r="A249" s="43" t="s">
        <v>174</v>
      </c>
      <c r="B249" s="36" t="s">
        <v>145</v>
      </c>
      <c r="C249" s="44" t="str">
        <f>$C$248</f>
        <v>99 0 00 05000</v>
      </c>
      <c r="D249" s="36" t="s">
        <v>173</v>
      </c>
      <c r="E249" s="37">
        <f>E250</f>
        <v>3595.4</v>
      </c>
      <c r="F249" s="37"/>
      <c r="G249" s="37">
        <f>G250</f>
        <v>0</v>
      </c>
      <c r="H249" s="37"/>
      <c r="I249" s="120"/>
    </row>
    <row r="250" spans="1:9" s="1" customFormat="1" ht="19.5" customHeight="1">
      <c r="A250" s="38" t="s">
        <v>56</v>
      </c>
      <c r="B250" s="36" t="s">
        <v>145</v>
      </c>
      <c r="C250" s="44" t="str">
        <f>$C$248</f>
        <v>99 0 00 05000</v>
      </c>
      <c r="D250" s="36" t="s">
        <v>55</v>
      </c>
      <c r="E250" s="37">
        <f>5000-1404.6</f>
        <v>3595.4</v>
      </c>
      <c r="F250" s="37"/>
      <c r="G250" s="37">
        <v>0</v>
      </c>
      <c r="H250" s="37"/>
      <c r="I250" s="120"/>
    </row>
    <row r="251" spans="1:9" s="1" customFormat="1" ht="21" customHeight="1">
      <c r="A251" s="46" t="s">
        <v>134</v>
      </c>
      <c r="B251" s="60" t="s">
        <v>77</v>
      </c>
      <c r="C251" s="60"/>
      <c r="D251" s="60"/>
      <c r="E251" s="11">
        <f>E342+E259+E358+E252</f>
        <v>317163.60000000003</v>
      </c>
      <c r="F251" s="11">
        <f>F342+F259+F358+F252</f>
        <v>41724</v>
      </c>
      <c r="G251" s="11">
        <f>G342+G259+G358+G252</f>
        <v>316014.00000000006</v>
      </c>
      <c r="H251" s="11">
        <f>H342+H259+H358+H252</f>
        <v>41478</v>
      </c>
      <c r="I251" s="16">
        <f>G251/E251*100</f>
        <v>99.63753722053855</v>
      </c>
    </row>
    <row r="252" spans="1:9" s="1" customFormat="1" ht="49.5" customHeight="1">
      <c r="A252" s="49" t="s">
        <v>258</v>
      </c>
      <c r="B252" s="44" t="s">
        <v>77</v>
      </c>
      <c r="C252" s="45" t="s">
        <v>135</v>
      </c>
      <c r="D252" s="66"/>
      <c r="E252" s="47">
        <f aca="true" t="shared" si="1" ref="E252:H253">E253</f>
        <v>8588</v>
      </c>
      <c r="F252" s="47">
        <f t="shared" si="1"/>
        <v>8588</v>
      </c>
      <c r="G252" s="47">
        <f t="shared" si="1"/>
        <v>8588</v>
      </c>
      <c r="H252" s="47">
        <f t="shared" si="1"/>
        <v>8588</v>
      </c>
      <c r="I252" s="120"/>
    </row>
    <row r="253" spans="1:9" s="1" customFormat="1" ht="27" customHeight="1">
      <c r="A253" s="33" t="s">
        <v>388</v>
      </c>
      <c r="B253" s="44" t="s">
        <v>77</v>
      </c>
      <c r="C253" s="45" t="s">
        <v>33</v>
      </c>
      <c r="D253" s="66"/>
      <c r="E253" s="47">
        <f t="shared" si="1"/>
        <v>8588</v>
      </c>
      <c r="F253" s="47">
        <f t="shared" si="1"/>
        <v>8588</v>
      </c>
      <c r="G253" s="47">
        <f t="shared" si="1"/>
        <v>8588</v>
      </c>
      <c r="H253" s="47">
        <f t="shared" si="1"/>
        <v>8588</v>
      </c>
      <c r="I253" s="120"/>
    </row>
    <row r="254" spans="1:9" s="1" customFormat="1" ht="64.5" customHeight="1">
      <c r="A254" s="33" t="s">
        <v>686</v>
      </c>
      <c r="B254" s="44" t="s">
        <v>77</v>
      </c>
      <c r="C254" s="44" t="s">
        <v>415</v>
      </c>
      <c r="D254" s="44"/>
      <c r="E254" s="47">
        <f>E255+E257</f>
        <v>8588</v>
      </c>
      <c r="F254" s="47">
        <f>F255+F257</f>
        <v>8588</v>
      </c>
      <c r="G254" s="47">
        <f>G255+G257</f>
        <v>8588</v>
      </c>
      <c r="H254" s="47">
        <f>H255+H257</f>
        <v>8588</v>
      </c>
      <c r="I254" s="120"/>
    </row>
    <row r="255" spans="1:9" s="1" customFormat="1" ht="60" customHeight="1">
      <c r="A255" s="43" t="s">
        <v>320</v>
      </c>
      <c r="B255" s="44" t="s">
        <v>77</v>
      </c>
      <c r="C255" s="44" t="s">
        <v>415</v>
      </c>
      <c r="D255" s="44" t="s">
        <v>175</v>
      </c>
      <c r="E255" s="47">
        <f>E256</f>
        <v>8542.8</v>
      </c>
      <c r="F255" s="47">
        <f>F256</f>
        <v>8542.8</v>
      </c>
      <c r="G255" s="47">
        <f>G256</f>
        <v>8542.8</v>
      </c>
      <c r="H255" s="47">
        <f>H256</f>
        <v>8542.8</v>
      </c>
      <c r="I255" s="120"/>
    </row>
    <row r="256" spans="1:9" s="1" customFormat="1" ht="21" customHeight="1">
      <c r="A256" s="43" t="s">
        <v>168</v>
      </c>
      <c r="B256" s="44" t="s">
        <v>77</v>
      </c>
      <c r="C256" s="44" t="s">
        <v>415</v>
      </c>
      <c r="D256" s="44" t="s">
        <v>167</v>
      </c>
      <c r="E256" s="47">
        <f>8026+512+4.8</f>
        <v>8542.8</v>
      </c>
      <c r="F256" s="47">
        <f>E256</f>
        <v>8542.8</v>
      </c>
      <c r="G256" s="47">
        <v>8542.8</v>
      </c>
      <c r="H256" s="47">
        <f>G256</f>
        <v>8542.8</v>
      </c>
      <c r="I256" s="120"/>
    </row>
    <row r="257" spans="1:9" s="1" customFormat="1" ht="21" customHeight="1">
      <c r="A257" s="43" t="s">
        <v>170</v>
      </c>
      <c r="B257" s="44" t="s">
        <v>77</v>
      </c>
      <c r="C257" s="44" t="s">
        <v>415</v>
      </c>
      <c r="D257" s="44" t="s">
        <v>169</v>
      </c>
      <c r="E257" s="47">
        <f>E258</f>
        <v>45.2</v>
      </c>
      <c r="F257" s="47">
        <f>F258</f>
        <v>45.2</v>
      </c>
      <c r="G257" s="47">
        <f>G258</f>
        <v>45.2</v>
      </c>
      <c r="H257" s="47">
        <f>H258</f>
        <v>45.2</v>
      </c>
      <c r="I257" s="120"/>
    </row>
    <row r="258" spans="1:9" s="1" customFormat="1" ht="35.25" customHeight="1">
      <c r="A258" s="43" t="s">
        <v>172</v>
      </c>
      <c r="B258" s="44" t="s">
        <v>77</v>
      </c>
      <c r="C258" s="44" t="s">
        <v>415</v>
      </c>
      <c r="D258" s="44" t="s">
        <v>171</v>
      </c>
      <c r="E258" s="47">
        <f>50-4.8</f>
        <v>45.2</v>
      </c>
      <c r="F258" s="47">
        <f>E258</f>
        <v>45.2</v>
      </c>
      <c r="G258" s="47">
        <v>45.2</v>
      </c>
      <c r="H258" s="47">
        <f>G258</f>
        <v>45.2</v>
      </c>
      <c r="I258" s="120"/>
    </row>
    <row r="259" spans="1:9" s="1" customFormat="1" ht="22.5" customHeight="1">
      <c r="A259" s="33" t="s">
        <v>238</v>
      </c>
      <c r="B259" s="36" t="s">
        <v>77</v>
      </c>
      <c r="C259" s="35" t="s">
        <v>20</v>
      </c>
      <c r="D259" s="36"/>
      <c r="E259" s="37">
        <f>E272+E260</f>
        <v>166830.30000000002</v>
      </c>
      <c r="F259" s="37">
        <f>F272+F260</f>
        <v>24470</v>
      </c>
      <c r="G259" s="37">
        <f>G272+G260</f>
        <v>166662.7</v>
      </c>
      <c r="H259" s="37">
        <f>H272+H260</f>
        <v>24394.5</v>
      </c>
      <c r="I259" s="120"/>
    </row>
    <row r="260" spans="1:9" s="1" customFormat="1" ht="50.25" customHeight="1">
      <c r="A260" s="33" t="s">
        <v>302</v>
      </c>
      <c r="B260" s="36" t="s">
        <v>77</v>
      </c>
      <c r="C260" s="44" t="s">
        <v>199</v>
      </c>
      <c r="D260" s="44"/>
      <c r="E260" s="47">
        <f>E261+E264</f>
        <v>7886</v>
      </c>
      <c r="F260" s="47">
        <f aca="true" t="shared" si="2" ref="E260:H262">F261</f>
        <v>6201</v>
      </c>
      <c r="G260" s="47">
        <f>G261+G264</f>
        <v>7798.9</v>
      </c>
      <c r="H260" s="47">
        <f t="shared" si="2"/>
        <v>6201</v>
      </c>
      <c r="I260" s="120"/>
    </row>
    <row r="261" spans="1:9" s="1" customFormat="1" ht="95.25" customHeight="1">
      <c r="A261" s="33" t="s">
        <v>272</v>
      </c>
      <c r="B261" s="36" t="s">
        <v>77</v>
      </c>
      <c r="C261" s="44" t="s">
        <v>416</v>
      </c>
      <c r="D261" s="44"/>
      <c r="E261" s="47">
        <f>E262</f>
        <v>6201</v>
      </c>
      <c r="F261" s="47">
        <f>F262</f>
        <v>6201</v>
      </c>
      <c r="G261" s="47">
        <f>G262</f>
        <v>6201</v>
      </c>
      <c r="H261" s="47">
        <f>H262</f>
        <v>6201</v>
      </c>
      <c r="I261" s="120"/>
    </row>
    <row r="262" spans="1:9" s="1" customFormat="1" ht="65.25" customHeight="1">
      <c r="A262" s="43" t="s">
        <v>320</v>
      </c>
      <c r="B262" s="36" t="s">
        <v>77</v>
      </c>
      <c r="C262" s="44" t="s">
        <v>416</v>
      </c>
      <c r="D262" s="44" t="s">
        <v>175</v>
      </c>
      <c r="E262" s="47">
        <f t="shared" si="2"/>
        <v>6201</v>
      </c>
      <c r="F262" s="47">
        <f t="shared" si="2"/>
        <v>6201</v>
      </c>
      <c r="G262" s="47">
        <f t="shared" si="2"/>
        <v>6201</v>
      </c>
      <c r="H262" s="47">
        <f t="shared" si="2"/>
        <v>6201</v>
      </c>
      <c r="I262" s="120"/>
    </row>
    <row r="263" spans="1:9" s="1" customFormat="1" ht="22.5" customHeight="1">
      <c r="A263" s="43" t="s">
        <v>168</v>
      </c>
      <c r="B263" s="36" t="s">
        <v>77</v>
      </c>
      <c r="C263" s="44" t="s">
        <v>416</v>
      </c>
      <c r="D263" s="44" t="s">
        <v>167</v>
      </c>
      <c r="E263" s="47">
        <f>5713+488</f>
        <v>6201</v>
      </c>
      <c r="F263" s="47">
        <f>E263</f>
        <v>6201</v>
      </c>
      <c r="G263" s="47">
        <v>6201</v>
      </c>
      <c r="H263" s="47">
        <f>G263</f>
        <v>6201</v>
      </c>
      <c r="I263" s="120"/>
    </row>
    <row r="264" spans="1:9" s="1" customFormat="1" ht="47.25" customHeight="1">
      <c r="A264" s="33" t="s">
        <v>302</v>
      </c>
      <c r="B264" s="44" t="s">
        <v>77</v>
      </c>
      <c r="C264" s="44" t="s">
        <v>199</v>
      </c>
      <c r="D264" s="44"/>
      <c r="E264" s="47">
        <f>E265</f>
        <v>1685</v>
      </c>
      <c r="F264" s="47">
        <f>F265</f>
        <v>0</v>
      </c>
      <c r="G264" s="47">
        <f>G265</f>
        <v>1597.9</v>
      </c>
      <c r="H264" s="47">
        <f>H265</f>
        <v>0</v>
      </c>
      <c r="I264" s="120"/>
    </row>
    <row r="265" spans="1:9" s="1" customFormat="1" ht="22.5" customHeight="1">
      <c r="A265" s="57" t="s">
        <v>116</v>
      </c>
      <c r="B265" s="44" t="s">
        <v>77</v>
      </c>
      <c r="C265" s="44" t="s">
        <v>209</v>
      </c>
      <c r="D265" s="44"/>
      <c r="E265" s="47">
        <f>E266+E269</f>
        <v>1685</v>
      </c>
      <c r="F265" s="47">
        <f>F267+F269</f>
        <v>0</v>
      </c>
      <c r="G265" s="47">
        <f>G266+G269</f>
        <v>1597.9</v>
      </c>
      <c r="H265" s="47">
        <f>H267+H269</f>
        <v>0</v>
      </c>
      <c r="I265" s="120"/>
    </row>
    <row r="266" spans="1:9" s="1" customFormat="1" ht="18.75" customHeight="1">
      <c r="A266" s="43" t="s">
        <v>154</v>
      </c>
      <c r="B266" s="44" t="s">
        <v>77</v>
      </c>
      <c r="C266" s="44" t="s">
        <v>249</v>
      </c>
      <c r="D266" s="44"/>
      <c r="E266" s="47">
        <f>E267</f>
        <v>698</v>
      </c>
      <c r="F266" s="47"/>
      <c r="G266" s="47">
        <f>G267</f>
        <v>625.5</v>
      </c>
      <c r="H266" s="47"/>
      <c r="I266" s="120"/>
    </row>
    <row r="267" spans="1:9" s="1" customFormat="1" ht="63.75" customHeight="1">
      <c r="A267" s="43" t="s">
        <v>320</v>
      </c>
      <c r="B267" s="44" t="s">
        <v>77</v>
      </c>
      <c r="C267" s="44" t="s">
        <v>249</v>
      </c>
      <c r="D267" s="44" t="s">
        <v>175</v>
      </c>
      <c r="E267" s="47">
        <f>E268</f>
        <v>698</v>
      </c>
      <c r="F267" s="47"/>
      <c r="G267" s="47">
        <f>G268</f>
        <v>625.5</v>
      </c>
      <c r="H267" s="47"/>
      <c r="I267" s="120"/>
    </row>
    <row r="268" spans="1:9" s="1" customFormat="1" ht="21.75" customHeight="1">
      <c r="A268" s="43" t="s">
        <v>168</v>
      </c>
      <c r="B268" s="44" t="s">
        <v>77</v>
      </c>
      <c r="C268" s="44" t="s">
        <v>249</v>
      </c>
      <c r="D268" s="44" t="s">
        <v>167</v>
      </c>
      <c r="E268" s="47">
        <f>603.9+118+22.1-39-7</f>
        <v>698</v>
      </c>
      <c r="F268" s="47"/>
      <c r="G268" s="47">
        <v>625.5</v>
      </c>
      <c r="H268" s="47"/>
      <c r="I268" s="120"/>
    </row>
    <row r="269" spans="1:9" s="1" customFormat="1" ht="30" customHeight="1">
      <c r="A269" s="43" t="s">
        <v>68</v>
      </c>
      <c r="B269" s="44" t="s">
        <v>77</v>
      </c>
      <c r="C269" s="44" t="s">
        <v>210</v>
      </c>
      <c r="D269" s="44"/>
      <c r="E269" s="47">
        <f>E270</f>
        <v>987</v>
      </c>
      <c r="F269" s="47"/>
      <c r="G269" s="47">
        <f>G270</f>
        <v>972.4</v>
      </c>
      <c r="H269" s="47"/>
      <c r="I269" s="120"/>
    </row>
    <row r="270" spans="1:9" s="1" customFormat="1" ht="22.5" customHeight="1">
      <c r="A270" s="43" t="s">
        <v>170</v>
      </c>
      <c r="B270" s="44" t="s">
        <v>77</v>
      </c>
      <c r="C270" s="44" t="s">
        <v>210</v>
      </c>
      <c r="D270" s="44" t="s">
        <v>169</v>
      </c>
      <c r="E270" s="47">
        <f>E271</f>
        <v>987</v>
      </c>
      <c r="F270" s="47"/>
      <c r="G270" s="47">
        <f>G271</f>
        <v>972.4</v>
      </c>
      <c r="H270" s="47"/>
      <c r="I270" s="120"/>
    </row>
    <row r="271" spans="1:9" s="1" customFormat="1" ht="30" customHeight="1">
      <c r="A271" s="43" t="s">
        <v>172</v>
      </c>
      <c r="B271" s="44" t="s">
        <v>77</v>
      </c>
      <c r="C271" s="44" t="s">
        <v>210</v>
      </c>
      <c r="D271" s="44" t="s">
        <v>171</v>
      </c>
      <c r="E271" s="47">
        <f>987</f>
        <v>987</v>
      </c>
      <c r="F271" s="47"/>
      <c r="G271" s="47">
        <v>972.4</v>
      </c>
      <c r="H271" s="47"/>
      <c r="I271" s="120"/>
    </row>
    <row r="272" spans="1:9" s="1" customFormat="1" ht="21" customHeight="1">
      <c r="A272" s="38" t="s">
        <v>41</v>
      </c>
      <c r="B272" s="36" t="s">
        <v>77</v>
      </c>
      <c r="C272" s="36" t="s">
        <v>21</v>
      </c>
      <c r="D272" s="36"/>
      <c r="E272" s="37">
        <f>E291+E288+E273+E276+E282+E279+E285</f>
        <v>158944.30000000002</v>
      </c>
      <c r="F272" s="37">
        <f>F291+F288+F273+F276+F282+F279+F285</f>
        <v>18269</v>
      </c>
      <c r="G272" s="37">
        <f>G291+G288+G273+G276+G282+G279+G285</f>
        <v>158863.80000000002</v>
      </c>
      <c r="H272" s="37">
        <f>H291+H288+H273+H276+H282+H279+H285</f>
        <v>18193.5</v>
      </c>
      <c r="I272" s="120"/>
    </row>
    <row r="273" spans="1:9" s="1" customFormat="1" ht="78.75" customHeight="1">
      <c r="A273" s="55" t="s">
        <v>279</v>
      </c>
      <c r="B273" s="36" t="s">
        <v>77</v>
      </c>
      <c r="C273" s="44" t="s">
        <v>516</v>
      </c>
      <c r="D273" s="44"/>
      <c r="E273" s="47">
        <f>E274</f>
        <v>78720</v>
      </c>
      <c r="F273" s="47">
        <f>F275</f>
        <v>0</v>
      </c>
      <c r="G273" s="47">
        <f>G274</f>
        <v>78720</v>
      </c>
      <c r="H273" s="47">
        <f>H275</f>
        <v>0</v>
      </c>
      <c r="I273" s="120"/>
    </row>
    <row r="274" spans="1:9" s="1" customFormat="1" ht="21" customHeight="1">
      <c r="A274" s="43" t="s">
        <v>174</v>
      </c>
      <c r="B274" s="36" t="s">
        <v>77</v>
      </c>
      <c r="C274" s="44" t="s">
        <v>516</v>
      </c>
      <c r="D274" s="44" t="s">
        <v>173</v>
      </c>
      <c r="E274" s="47">
        <f>E275</f>
        <v>78720</v>
      </c>
      <c r="F274" s="47"/>
      <c r="G274" s="47">
        <f>G275</f>
        <v>78720</v>
      </c>
      <c r="H274" s="47"/>
      <c r="I274" s="120"/>
    </row>
    <row r="275" spans="1:9" s="1" customFormat="1" ht="21" customHeight="1">
      <c r="A275" s="43" t="s">
        <v>333</v>
      </c>
      <c r="B275" s="36" t="s">
        <v>77</v>
      </c>
      <c r="C275" s="44" t="s">
        <v>516</v>
      </c>
      <c r="D275" s="44" t="s">
        <v>332</v>
      </c>
      <c r="E275" s="47">
        <f>78720</f>
        <v>78720</v>
      </c>
      <c r="F275" s="47">
        <v>0</v>
      </c>
      <c r="G275" s="47">
        <v>78720</v>
      </c>
      <c r="H275" s="47">
        <v>0</v>
      </c>
      <c r="I275" s="120"/>
    </row>
    <row r="276" spans="1:9" s="1" customFormat="1" ht="89.25" customHeight="1">
      <c r="A276" s="55" t="s">
        <v>615</v>
      </c>
      <c r="B276" s="36" t="s">
        <v>77</v>
      </c>
      <c r="C276" s="44" t="s">
        <v>616</v>
      </c>
      <c r="D276" s="44"/>
      <c r="E276" s="47">
        <f>E277</f>
        <v>753.1</v>
      </c>
      <c r="F276" s="47">
        <f>F278</f>
        <v>0</v>
      </c>
      <c r="G276" s="47">
        <f>G277</f>
        <v>752.8</v>
      </c>
      <c r="H276" s="47">
        <f>H278</f>
        <v>0</v>
      </c>
      <c r="I276" s="120"/>
    </row>
    <row r="277" spans="1:9" s="1" customFormat="1" ht="21" customHeight="1">
      <c r="A277" s="43" t="s">
        <v>174</v>
      </c>
      <c r="B277" s="36" t="s">
        <v>77</v>
      </c>
      <c r="C277" s="44" t="s">
        <v>616</v>
      </c>
      <c r="D277" s="44" t="s">
        <v>173</v>
      </c>
      <c r="E277" s="47">
        <f>E278</f>
        <v>753.1</v>
      </c>
      <c r="F277" s="47"/>
      <c r="G277" s="47">
        <f>G278</f>
        <v>752.8</v>
      </c>
      <c r="H277" s="47"/>
      <c r="I277" s="120"/>
    </row>
    <row r="278" spans="1:9" s="1" customFormat="1" ht="21" customHeight="1">
      <c r="A278" s="43" t="s">
        <v>333</v>
      </c>
      <c r="B278" s="36" t="s">
        <v>77</v>
      </c>
      <c r="C278" s="44" t="s">
        <v>616</v>
      </c>
      <c r="D278" s="44" t="s">
        <v>332</v>
      </c>
      <c r="E278" s="47">
        <f>96.9+34.5+245.3+15.5-18+9.5+45.2+19.8+82.4+115+41+16.4+49.6</f>
        <v>753.1</v>
      </c>
      <c r="F278" s="47">
        <v>0</v>
      </c>
      <c r="G278" s="47">
        <v>752.8</v>
      </c>
      <c r="H278" s="47">
        <v>0</v>
      </c>
      <c r="I278" s="120"/>
    </row>
    <row r="279" spans="1:9" s="1" customFormat="1" ht="91.5" customHeight="1">
      <c r="A279" s="55" t="s">
        <v>678</v>
      </c>
      <c r="B279" s="44" t="s">
        <v>77</v>
      </c>
      <c r="C279" s="44" t="s">
        <v>679</v>
      </c>
      <c r="D279" s="44"/>
      <c r="E279" s="47">
        <f>E280</f>
        <v>2662.7000000000003</v>
      </c>
      <c r="F279" s="47">
        <f>F281</f>
        <v>0</v>
      </c>
      <c r="G279" s="47">
        <f>G280</f>
        <v>2662.7</v>
      </c>
      <c r="H279" s="47">
        <f>H281</f>
        <v>0</v>
      </c>
      <c r="I279" s="120"/>
    </row>
    <row r="280" spans="1:9" s="1" customFormat="1" ht="21" customHeight="1">
      <c r="A280" s="43" t="s">
        <v>174</v>
      </c>
      <c r="B280" s="44" t="s">
        <v>77</v>
      </c>
      <c r="C280" s="44" t="s">
        <v>679</v>
      </c>
      <c r="D280" s="44" t="s">
        <v>173</v>
      </c>
      <c r="E280" s="47">
        <f>E281</f>
        <v>2662.7000000000003</v>
      </c>
      <c r="F280" s="47"/>
      <c r="G280" s="47">
        <f>G281</f>
        <v>2662.7</v>
      </c>
      <c r="H280" s="47"/>
      <c r="I280" s="120"/>
    </row>
    <row r="281" spans="1:9" s="1" customFormat="1" ht="21" customHeight="1">
      <c r="A281" s="43" t="s">
        <v>333</v>
      </c>
      <c r="B281" s="44" t="s">
        <v>77</v>
      </c>
      <c r="C281" s="44" t="s">
        <v>679</v>
      </c>
      <c r="D281" s="44" t="s">
        <v>332</v>
      </c>
      <c r="E281" s="47">
        <f>2125.3+268.2+18+20.3+55.9+175</f>
        <v>2662.7000000000003</v>
      </c>
      <c r="F281" s="47">
        <v>0</v>
      </c>
      <c r="G281" s="47">
        <v>2662.7</v>
      </c>
      <c r="H281" s="47">
        <v>0</v>
      </c>
      <c r="I281" s="120"/>
    </row>
    <row r="282" spans="1:9" s="1" customFormat="1" ht="32.25" customHeight="1">
      <c r="A282" s="43" t="s">
        <v>68</v>
      </c>
      <c r="B282" s="36" t="s">
        <v>77</v>
      </c>
      <c r="C282" s="36" t="s">
        <v>32</v>
      </c>
      <c r="D282" s="36"/>
      <c r="E282" s="47">
        <f>E283</f>
        <v>342.7</v>
      </c>
      <c r="F282" s="47"/>
      <c r="G282" s="47">
        <f>G283</f>
        <v>342.7</v>
      </c>
      <c r="H282" s="47"/>
      <c r="I282" s="120"/>
    </row>
    <row r="283" spans="1:9" s="1" customFormat="1" ht="21" customHeight="1">
      <c r="A283" s="43" t="s">
        <v>174</v>
      </c>
      <c r="B283" s="36" t="s">
        <v>77</v>
      </c>
      <c r="C283" s="36" t="s">
        <v>32</v>
      </c>
      <c r="D283" s="36" t="s">
        <v>173</v>
      </c>
      <c r="E283" s="37">
        <f>E284</f>
        <v>342.7</v>
      </c>
      <c r="F283" s="47"/>
      <c r="G283" s="37">
        <f>G284</f>
        <v>342.7</v>
      </c>
      <c r="H283" s="47"/>
      <c r="I283" s="120"/>
    </row>
    <row r="284" spans="1:9" s="1" customFormat="1" ht="21" customHeight="1">
      <c r="A284" s="43" t="s">
        <v>324</v>
      </c>
      <c r="B284" s="36" t="s">
        <v>77</v>
      </c>
      <c r="C284" s="36" t="s">
        <v>32</v>
      </c>
      <c r="D284" s="36" t="s">
        <v>323</v>
      </c>
      <c r="E284" s="37">
        <f>352.7-10</f>
        <v>342.7</v>
      </c>
      <c r="F284" s="47"/>
      <c r="G284" s="37">
        <v>342.7</v>
      </c>
      <c r="H284" s="47"/>
      <c r="I284" s="120"/>
    </row>
    <row r="285" spans="1:9" s="1" customFormat="1" ht="63" customHeight="1">
      <c r="A285" s="43" t="s">
        <v>707</v>
      </c>
      <c r="B285" s="44" t="s">
        <v>77</v>
      </c>
      <c r="C285" s="44" t="s">
        <v>708</v>
      </c>
      <c r="D285" s="44"/>
      <c r="E285" s="37">
        <f aca="true" t="shared" si="3" ref="E285:H286">E286</f>
        <v>73</v>
      </c>
      <c r="F285" s="37">
        <f t="shared" si="3"/>
        <v>73</v>
      </c>
      <c r="G285" s="37">
        <f t="shared" si="3"/>
        <v>0</v>
      </c>
      <c r="H285" s="37">
        <f t="shared" si="3"/>
        <v>0</v>
      </c>
      <c r="I285" s="120"/>
    </row>
    <row r="286" spans="1:9" s="1" customFormat="1" ht="21" customHeight="1">
      <c r="A286" s="43" t="s">
        <v>170</v>
      </c>
      <c r="B286" s="44" t="s">
        <v>77</v>
      </c>
      <c r="C286" s="44" t="s">
        <v>708</v>
      </c>
      <c r="D286" s="44" t="s">
        <v>169</v>
      </c>
      <c r="E286" s="37">
        <f t="shared" si="3"/>
        <v>73</v>
      </c>
      <c r="F286" s="37">
        <f t="shared" si="3"/>
        <v>73</v>
      </c>
      <c r="G286" s="37">
        <f t="shared" si="3"/>
        <v>0</v>
      </c>
      <c r="H286" s="37">
        <f t="shared" si="3"/>
        <v>0</v>
      </c>
      <c r="I286" s="120"/>
    </row>
    <row r="287" spans="1:9" s="1" customFormat="1" ht="32.25" customHeight="1">
      <c r="A287" s="43" t="s">
        <v>172</v>
      </c>
      <c r="B287" s="44" t="s">
        <v>77</v>
      </c>
      <c r="C287" s="44" t="s">
        <v>708</v>
      </c>
      <c r="D287" s="44" t="s">
        <v>171</v>
      </c>
      <c r="E287" s="37">
        <f>73</f>
        <v>73</v>
      </c>
      <c r="F287" s="37">
        <f>E287</f>
        <v>73</v>
      </c>
      <c r="G287" s="37">
        <v>0</v>
      </c>
      <c r="H287" s="37">
        <f>G287</f>
        <v>0</v>
      </c>
      <c r="I287" s="120"/>
    </row>
    <row r="288" spans="1:9" s="1" customFormat="1" ht="45" customHeight="1">
      <c r="A288" s="43" t="s">
        <v>316</v>
      </c>
      <c r="B288" s="36" t="s">
        <v>77</v>
      </c>
      <c r="C288" s="44" t="s">
        <v>418</v>
      </c>
      <c r="D288" s="36"/>
      <c r="E288" s="37">
        <f>E289</f>
        <v>18196</v>
      </c>
      <c r="F288" s="37">
        <f>F289+F291</f>
        <v>18196</v>
      </c>
      <c r="G288" s="37">
        <f>G289</f>
        <v>18193.5</v>
      </c>
      <c r="H288" s="37">
        <f>H289+H291</f>
        <v>18193.5</v>
      </c>
      <c r="I288" s="120"/>
    </row>
    <row r="289" spans="1:9" s="1" customFormat="1" ht="64.5" customHeight="1">
      <c r="A289" s="40" t="s">
        <v>320</v>
      </c>
      <c r="B289" s="36" t="s">
        <v>77</v>
      </c>
      <c r="C289" s="44" t="s">
        <v>418</v>
      </c>
      <c r="D289" s="36" t="s">
        <v>175</v>
      </c>
      <c r="E289" s="37">
        <f>E290</f>
        <v>18196</v>
      </c>
      <c r="F289" s="37">
        <f>F290</f>
        <v>18196</v>
      </c>
      <c r="G289" s="37">
        <f>G290</f>
        <v>18193.5</v>
      </c>
      <c r="H289" s="37">
        <f>H290</f>
        <v>18193.5</v>
      </c>
      <c r="I289" s="120"/>
    </row>
    <row r="290" spans="1:9" s="1" customFormat="1" ht="24.75" customHeight="1">
      <c r="A290" s="39" t="s">
        <v>168</v>
      </c>
      <c r="B290" s="36" t="s">
        <v>77</v>
      </c>
      <c r="C290" s="44" t="s">
        <v>418</v>
      </c>
      <c r="D290" s="36" t="s">
        <v>167</v>
      </c>
      <c r="E290" s="37">
        <f>16783+1413</f>
        <v>18196</v>
      </c>
      <c r="F290" s="37">
        <f>E290</f>
        <v>18196</v>
      </c>
      <c r="G290" s="37">
        <v>18193.5</v>
      </c>
      <c r="H290" s="37">
        <f>G290</f>
        <v>18193.5</v>
      </c>
      <c r="I290" s="120"/>
    </row>
    <row r="291" spans="1:9" s="1" customFormat="1" ht="29.25" customHeight="1">
      <c r="A291" s="38" t="s">
        <v>329</v>
      </c>
      <c r="B291" s="36" t="s">
        <v>77</v>
      </c>
      <c r="C291" s="36" t="s">
        <v>410</v>
      </c>
      <c r="D291" s="36"/>
      <c r="E291" s="37">
        <f>E292+E299+E306</f>
        <v>58196.8</v>
      </c>
      <c r="F291" s="37"/>
      <c r="G291" s="37">
        <f>G292+G299+G306</f>
        <v>58192.100000000006</v>
      </c>
      <c r="H291" s="37"/>
      <c r="I291" s="120"/>
    </row>
    <row r="292" spans="1:9" s="1" customFormat="1" ht="30.75" customHeight="1">
      <c r="A292" s="100" t="s">
        <v>254</v>
      </c>
      <c r="B292" s="36" t="s">
        <v>77</v>
      </c>
      <c r="C292" s="36" t="s">
        <v>403</v>
      </c>
      <c r="D292" s="112"/>
      <c r="E292" s="37">
        <f>E293+E295+E297</f>
        <v>46856.8</v>
      </c>
      <c r="F292" s="37"/>
      <c r="G292" s="37">
        <f>G293+G295+G297</f>
        <v>46852.200000000004</v>
      </c>
      <c r="H292" s="37"/>
      <c r="I292" s="120"/>
    </row>
    <row r="293" spans="1:9" s="1" customFormat="1" ht="60.75" customHeight="1">
      <c r="A293" s="40" t="s">
        <v>320</v>
      </c>
      <c r="B293" s="36" t="s">
        <v>77</v>
      </c>
      <c r="C293" s="36" t="s">
        <v>403</v>
      </c>
      <c r="D293" s="36" t="s">
        <v>175</v>
      </c>
      <c r="E293" s="37">
        <f>E294</f>
        <v>31772.9</v>
      </c>
      <c r="F293" s="37"/>
      <c r="G293" s="37">
        <f>G294</f>
        <v>31768.3</v>
      </c>
      <c r="H293" s="37"/>
      <c r="I293" s="120"/>
    </row>
    <row r="294" spans="1:9" s="1" customFormat="1" ht="21.75" customHeight="1">
      <c r="A294" s="40" t="s">
        <v>322</v>
      </c>
      <c r="B294" s="36" t="s">
        <v>77</v>
      </c>
      <c r="C294" s="36" t="s">
        <v>403</v>
      </c>
      <c r="D294" s="34" t="s">
        <v>321</v>
      </c>
      <c r="E294" s="41">
        <f>23114.3+7100.2+358.4+1200</f>
        <v>31772.9</v>
      </c>
      <c r="F294" s="41"/>
      <c r="G294" s="41">
        <v>31768.3</v>
      </c>
      <c r="H294" s="41"/>
      <c r="I294" s="120"/>
    </row>
    <row r="295" spans="1:9" s="1" customFormat="1" ht="22.5" customHeight="1">
      <c r="A295" s="43" t="s">
        <v>170</v>
      </c>
      <c r="B295" s="36" t="s">
        <v>77</v>
      </c>
      <c r="C295" s="36" t="s">
        <v>403</v>
      </c>
      <c r="D295" s="36" t="s">
        <v>169</v>
      </c>
      <c r="E295" s="41">
        <f>E296</f>
        <v>14752.5</v>
      </c>
      <c r="F295" s="41"/>
      <c r="G295" s="41">
        <f>G296</f>
        <v>14752.5</v>
      </c>
      <c r="H295" s="41"/>
      <c r="I295" s="120"/>
    </row>
    <row r="296" spans="1:9" s="1" customFormat="1" ht="31.5" customHeight="1">
      <c r="A296" s="43" t="s">
        <v>172</v>
      </c>
      <c r="B296" s="36" t="s">
        <v>77</v>
      </c>
      <c r="C296" s="36" t="s">
        <v>403</v>
      </c>
      <c r="D296" s="34" t="s">
        <v>171</v>
      </c>
      <c r="E296" s="41">
        <f>16185.7-7100.2+1000+4656.8+10.2</f>
        <v>14752.5</v>
      </c>
      <c r="F296" s="41"/>
      <c r="G296" s="41">
        <v>14752.5</v>
      </c>
      <c r="H296" s="41"/>
      <c r="I296" s="120"/>
    </row>
    <row r="297" spans="1:9" s="1" customFormat="1" ht="20.25" customHeight="1">
      <c r="A297" s="43" t="s">
        <v>174</v>
      </c>
      <c r="B297" s="36" t="s">
        <v>77</v>
      </c>
      <c r="C297" s="36" t="s">
        <v>403</v>
      </c>
      <c r="D297" s="36" t="s">
        <v>173</v>
      </c>
      <c r="E297" s="41">
        <f>E298</f>
        <v>331.4</v>
      </c>
      <c r="F297" s="41"/>
      <c r="G297" s="41">
        <f>G298</f>
        <v>331.4</v>
      </c>
      <c r="H297" s="41"/>
      <c r="I297" s="120"/>
    </row>
    <row r="298" spans="1:9" s="1" customFormat="1" ht="20.25" customHeight="1">
      <c r="A298" s="43" t="s">
        <v>324</v>
      </c>
      <c r="B298" s="36" t="s">
        <v>77</v>
      </c>
      <c r="C298" s="36" t="s">
        <v>403</v>
      </c>
      <c r="D298" s="36" t="s">
        <v>323</v>
      </c>
      <c r="E298" s="41">
        <f>700-368.6</f>
        <v>331.4</v>
      </c>
      <c r="F298" s="41"/>
      <c r="G298" s="41">
        <v>331.4</v>
      </c>
      <c r="H298" s="41"/>
      <c r="I298" s="120"/>
    </row>
    <row r="299" spans="1:9" s="1" customFormat="1" ht="33" customHeight="1">
      <c r="A299" s="57" t="s">
        <v>255</v>
      </c>
      <c r="B299" s="36" t="s">
        <v>77</v>
      </c>
      <c r="C299" s="36" t="s">
        <v>194</v>
      </c>
      <c r="D299" s="44"/>
      <c r="E299" s="47">
        <f>E300+E302+E304</f>
        <v>7690.8</v>
      </c>
      <c r="F299" s="41"/>
      <c r="G299" s="47">
        <f>G300+G302+G304</f>
        <v>7690.8</v>
      </c>
      <c r="H299" s="41"/>
      <c r="I299" s="120"/>
    </row>
    <row r="300" spans="1:9" s="1" customFormat="1" ht="60" customHeight="1">
      <c r="A300" s="43" t="s">
        <v>320</v>
      </c>
      <c r="B300" s="36" t="s">
        <v>77</v>
      </c>
      <c r="C300" s="36" t="s">
        <v>194</v>
      </c>
      <c r="D300" s="45" t="s">
        <v>175</v>
      </c>
      <c r="E300" s="50">
        <f>E301</f>
        <v>6674.8</v>
      </c>
      <c r="F300" s="41"/>
      <c r="G300" s="50">
        <f>G301</f>
        <v>6674.8</v>
      </c>
      <c r="H300" s="41"/>
      <c r="I300" s="120"/>
    </row>
    <row r="301" spans="1:9" s="1" customFormat="1" ht="20.25" customHeight="1">
      <c r="A301" s="55" t="s">
        <v>322</v>
      </c>
      <c r="B301" s="36" t="s">
        <v>77</v>
      </c>
      <c r="C301" s="36" t="s">
        <v>194</v>
      </c>
      <c r="D301" s="44" t="s">
        <v>321</v>
      </c>
      <c r="E301" s="47">
        <v>6674.8</v>
      </c>
      <c r="F301" s="41"/>
      <c r="G301" s="47">
        <v>6674.8</v>
      </c>
      <c r="H301" s="41"/>
      <c r="I301" s="120"/>
    </row>
    <row r="302" spans="1:9" s="1" customFormat="1" ht="20.25" customHeight="1">
      <c r="A302" s="43" t="s">
        <v>170</v>
      </c>
      <c r="B302" s="36" t="s">
        <v>77</v>
      </c>
      <c r="C302" s="36" t="s">
        <v>194</v>
      </c>
      <c r="D302" s="45" t="s">
        <v>169</v>
      </c>
      <c r="E302" s="50">
        <f>E303</f>
        <v>1015.9</v>
      </c>
      <c r="F302" s="41"/>
      <c r="G302" s="50">
        <f>G303</f>
        <v>1015.9</v>
      </c>
      <c r="H302" s="41"/>
      <c r="I302" s="120"/>
    </row>
    <row r="303" spans="1:9" s="1" customFormat="1" ht="33" customHeight="1">
      <c r="A303" s="55" t="s">
        <v>172</v>
      </c>
      <c r="B303" s="36" t="s">
        <v>77</v>
      </c>
      <c r="C303" s="36" t="s">
        <v>194</v>
      </c>
      <c r="D303" s="44" t="s">
        <v>171</v>
      </c>
      <c r="E303" s="47">
        <v>1015.9</v>
      </c>
      <c r="F303" s="41"/>
      <c r="G303" s="47">
        <v>1015.9</v>
      </c>
      <c r="H303" s="41"/>
      <c r="I303" s="120"/>
    </row>
    <row r="304" spans="1:9" s="1" customFormat="1" ht="20.25" customHeight="1">
      <c r="A304" s="43" t="s">
        <v>174</v>
      </c>
      <c r="B304" s="36" t="s">
        <v>77</v>
      </c>
      <c r="C304" s="36" t="s">
        <v>194</v>
      </c>
      <c r="D304" s="45" t="s">
        <v>173</v>
      </c>
      <c r="E304" s="50">
        <f>E305</f>
        <v>0.1</v>
      </c>
      <c r="F304" s="41"/>
      <c r="G304" s="50">
        <f>G305</f>
        <v>0.1</v>
      </c>
      <c r="H304" s="41"/>
      <c r="I304" s="120"/>
    </row>
    <row r="305" spans="1:9" s="1" customFormat="1" ht="20.25" customHeight="1">
      <c r="A305" s="55" t="s">
        <v>324</v>
      </c>
      <c r="B305" s="36" t="s">
        <v>77</v>
      </c>
      <c r="C305" s="36" t="s">
        <v>194</v>
      </c>
      <c r="D305" s="45" t="s">
        <v>323</v>
      </c>
      <c r="E305" s="50">
        <v>0.1</v>
      </c>
      <c r="F305" s="41"/>
      <c r="G305" s="50">
        <v>0.1</v>
      </c>
      <c r="H305" s="41"/>
      <c r="I305" s="120"/>
    </row>
    <row r="306" spans="1:9" s="1" customFormat="1" ht="46.5" customHeight="1">
      <c r="A306" s="57" t="s">
        <v>538</v>
      </c>
      <c r="B306" s="36" t="s">
        <v>77</v>
      </c>
      <c r="C306" s="36" t="s">
        <v>539</v>
      </c>
      <c r="D306" s="44"/>
      <c r="E306" s="47">
        <f>E307</f>
        <v>3649.2</v>
      </c>
      <c r="F306" s="41"/>
      <c r="G306" s="47">
        <f>G307</f>
        <v>3649.1</v>
      </c>
      <c r="H306" s="41"/>
      <c r="I306" s="120"/>
    </row>
    <row r="307" spans="1:9" s="1" customFormat="1" ht="44.25" customHeight="1">
      <c r="A307" s="55" t="s">
        <v>589</v>
      </c>
      <c r="B307" s="36" t="s">
        <v>77</v>
      </c>
      <c r="C307" s="36" t="s">
        <v>539</v>
      </c>
      <c r="D307" s="44"/>
      <c r="E307" s="47">
        <f>E308+E310</f>
        <v>3649.2</v>
      </c>
      <c r="F307" s="41"/>
      <c r="G307" s="47">
        <f>G308+G310</f>
        <v>3649.1</v>
      </c>
      <c r="H307" s="41"/>
      <c r="I307" s="120"/>
    </row>
    <row r="308" spans="1:9" s="1" customFormat="1" ht="61.5" customHeight="1">
      <c r="A308" s="55" t="s">
        <v>320</v>
      </c>
      <c r="B308" s="36" t="s">
        <v>77</v>
      </c>
      <c r="C308" s="36" t="s">
        <v>539</v>
      </c>
      <c r="D308" s="44" t="s">
        <v>175</v>
      </c>
      <c r="E308" s="47">
        <f>E309</f>
        <v>3193.6</v>
      </c>
      <c r="F308" s="41"/>
      <c r="G308" s="47">
        <f>G309</f>
        <v>3193.5</v>
      </c>
      <c r="H308" s="41"/>
      <c r="I308" s="120"/>
    </row>
    <row r="309" spans="1:9" s="1" customFormat="1" ht="24.75" customHeight="1">
      <c r="A309" s="55" t="s">
        <v>322</v>
      </c>
      <c r="B309" s="36" t="s">
        <v>77</v>
      </c>
      <c r="C309" s="36" t="s">
        <v>539</v>
      </c>
      <c r="D309" s="44" t="s">
        <v>321</v>
      </c>
      <c r="E309" s="47">
        <f>E317+E314+E322+E325+E333+E338+E341+E330</f>
        <v>3193.6</v>
      </c>
      <c r="F309" s="41"/>
      <c r="G309" s="47">
        <f>G317+G314+G322+G325+G333+G338+G341+G330</f>
        <v>3193.5</v>
      </c>
      <c r="H309" s="41"/>
      <c r="I309" s="120"/>
    </row>
    <row r="310" spans="1:9" s="1" customFormat="1" ht="20.25" customHeight="1">
      <c r="A310" s="55" t="s">
        <v>170</v>
      </c>
      <c r="B310" s="36" t="s">
        <v>77</v>
      </c>
      <c r="C310" s="36" t="s">
        <v>539</v>
      </c>
      <c r="D310" s="44" t="s">
        <v>169</v>
      </c>
      <c r="E310" s="47">
        <f>E311</f>
        <v>455.6</v>
      </c>
      <c r="F310" s="41"/>
      <c r="G310" s="47">
        <f>G311</f>
        <v>455.6</v>
      </c>
      <c r="H310" s="41"/>
      <c r="I310" s="120"/>
    </row>
    <row r="311" spans="1:9" s="1" customFormat="1" ht="36" customHeight="1">
      <c r="A311" s="55" t="s">
        <v>172</v>
      </c>
      <c r="B311" s="36" t="s">
        <v>77</v>
      </c>
      <c r="C311" s="36" t="s">
        <v>539</v>
      </c>
      <c r="D311" s="44" t="s">
        <v>171</v>
      </c>
      <c r="E311" s="47">
        <f>E319+E327+E335</f>
        <v>455.6</v>
      </c>
      <c r="F311" s="41"/>
      <c r="G311" s="47">
        <f>G319+G327+G335</f>
        <v>455.6</v>
      </c>
      <c r="H311" s="41"/>
      <c r="I311" s="120"/>
    </row>
    <row r="312" spans="1:9" s="1" customFormat="1" ht="58.5" customHeight="1">
      <c r="A312" s="55" t="s">
        <v>585</v>
      </c>
      <c r="B312" s="36" t="s">
        <v>77</v>
      </c>
      <c r="C312" s="36" t="s">
        <v>586</v>
      </c>
      <c r="D312" s="44"/>
      <c r="E312" s="47">
        <f>E313</f>
        <v>201</v>
      </c>
      <c r="F312" s="41"/>
      <c r="G312" s="47">
        <f>G313</f>
        <v>201</v>
      </c>
      <c r="H312" s="41"/>
      <c r="I312" s="120"/>
    </row>
    <row r="313" spans="1:9" s="1" customFormat="1" ht="45" customHeight="1">
      <c r="A313" s="55" t="s">
        <v>320</v>
      </c>
      <c r="B313" s="36" t="s">
        <v>77</v>
      </c>
      <c r="C313" s="36" t="s">
        <v>586</v>
      </c>
      <c r="D313" s="44" t="s">
        <v>175</v>
      </c>
      <c r="E313" s="47">
        <f>E314</f>
        <v>201</v>
      </c>
      <c r="F313" s="41"/>
      <c r="G313" s="47">
        <f>G314</f>
        <v>201</v>
      </c>
      <c r="H313" s="41"/>
      <c r="I313" s="120"/>
    </row>
    <row r="314" spans="1:9" s="1" customFormat="1" ht="21.75" customHeight="1">
      <c r="A314" s="55" t="s">
        <v>322</v>
      </c>
      <c r="B314" s="36" t="s">
        <v>77</v>
      </c>
      <c r="C314" s="36" t="s">
        <v>586</v>
      </c>
      <c r="D314" s="44" t="s">
        <v>321</v>
      </c>
      <c r="E314" s="47">
        <v>201</v>
      </c>
      <c r="F314" s="41"/>
      <c r="G314" s="47">
        <v>201</v>
      </c>
      <c r="H314" s="41"/>
      <c r="I314" s="120"/>
    </row>
    <row r="315" spans="1:9" s="1" customFormat="1" ht="60.75" customHeight="1">
      <c r="A315" s="55" t="s">
        <v>540</v>
      </c>
      <c r="B315" s="36" t="s">
        <v>77</v>
      </c>
      <c r="C315" s="36" t="s">
        <v>541</v>
      </c>
      <c r="D315" s="44"/>
      <c r="E315" s="47">
        <f>E316+E318</f>
        <v>2412.2</v>
      </c>
      <c r="F315" s="41"/>
      <c r="G315" s="47">
        <f>G316+G318</f>
        <v>2412.1</v>
      </c>
      <c r="H315" s="41"/>
      <c r="I315" s="120"/>
    </row>
    <row r="316" spans="1:9" s="1" customFormat="1" ht="60.75" customHeight="1">
      <c r="A316" s="55" t="s">
        <v>320</v>
      </c>
      <c r="B316" s="36" t="s">
        <v>77</v>
      </c>
      <c r="C316" s="36" t="s">
        <v>541</v>
      </c>
      <c r="D316" s="44" t="s">
        <v>175</v>
      </c>
      <c r="E316" s="47">
        <f>E317</f>
        <v>2010.2</v>
      </c>
      <c r="F316" s="41"/>
      <c r="G316" s="47">
        <f>G317</f>
        <v>2010.1</v>
      </c>
      <c r="H316" s="41"/>
      <c r="I316" s="120"/>
    </row>
    <row r="317" spans="1:9" s="1" customFormat="1" ht="24" customHeight="1">
      <c r="A317" s="55" t="s">
        <v>322</v>
      </c>
      <c r="B317" s="36" t="s">
        <v>77</v>
      </c>
      <c r="C317" s="36" t="s">
        <v>541</v>
      </c>
      <c r="D317" s="44" t="s">
        <v>321</v>
      </c>
      <c r="E317" s="47">
        <v>2010.2</v>
      </c>
      <c r="F317" s="41"/>
      <c r="G317" s="47">
        <v>2010.1</v>
      </c>
      <c r="H317" s="41"/>
      <c r="I317" s="120"/>
    </row>
    <row r="318" spans="1:9" s="1" customFormat="1" ht="20.25" customHeight="1">
      <c r="A318" s="55" t="s">
        <v>170</v>
      </c>
      <c r="B318" s="36" t="s">
        <v>77</v>
      </c>
      <c r="C318" s="36" t="s">
        <v>541</v>
      </c>
      <c r="D318" s="44" t="s">
        <v>169</v>
      </c>
      <c r="E318" s="47">
        <f>E319</f>
        <v>402</v>
      </c>
      <c r="F318" s="41"/>
      <c r="G318" s="47">
        <f>G319</f>
        <v>402</v>
      </c>
      <c r="H318" s="41"/>
      <c r="I318" s="120"/>
    </row>
    <row r="319" spans="1:9" s="1" customFormat="1" ht="36" customHeight="1">
      <c r="A319" s="55" t="s">
        <v>172</v>
      </c>
      <c r="B319" s="36" t="s">
        <v>77</v>
      </c>
      <c r="C319" s="36" t="s">
        <v>541</v>
      </c>
      <c r="D319" s="44" t="s">
        <v>171</v>
      </c>
      <c r="E319" s="47">
        <v>402</v>
      </c>
      <c r="F319" s="41"/>
      <c r="G319" s="47">
        <v>402</v>
      </c>
      <c r="H319" s="41"/>
      <c r="I319" s="120"/>
    </row>
    <row r="320" spans="1:9" s="1" customFormat="1" ht="59.25" customHeight="1">
      <c r="A320" s="55" t="s">
        <v>575</v>
      </c>
      <c r="B320" s="44" t="s">
        <v>77</v>
      </c>
      <c r="C320" s="44" t="s">
        <v>576</v>
      </c>
      <c r="D320" s="44"/>
      <c r="E320" s="47">
        <f>E321</f>
        <v>402</v>
      </c>
      <c r="F320" s="41"/>
      <c r="G320" s="47">
        <f>G321</f>
        <v>402</v>
      </c>
      <c r="H320" s="41"/>
      <c r="I320" s="120"/>
    </row>
    <row r="321" spans="1:9" s="1" customFormat="1" ht="58.5" customHeight="1">
      <c r="A321" s="55" t="s">
        <v>320</v>
      </c>
      <c r="B321" s="36" t="s">
        <v>77</v>
      </c>
      <c r="C321" s="36" t="s">
        <v>576</v>
      </c>
      <c r="D321" s="44" t="s">
        <v>175</v>
      </c>
      <c r="E321" s="47">
        <f>E322</f>
        <v>402</v>
      </c>
      <c r="F321" s="41"/>
      <c r="G321" s="47">
        <f>G322</f>
        <v>402</v>
      </c>
      <c r="H321" s="41"/>
      <c r="I321" s="120"/>
    </row>
    <row r="322" spans="1:9" s="1" customFormat="1" ht="21" customHeight="1">
      <c r="A322" s="55" t="s">
        <v>322</v>
      </c>
      <c r="B322" s="36" t="s">
        <v>77</v>
      </c>
      <c r="C322" s="36" t="s">
        <v>576</v>
      </c>
      <c r="D322" s="44" t="s">
        <v>321</v>
      </c>
      <c r="E322" s="47">
        <v>402</v>
      </c>
      <c r="F322" s="41"/>
      <c r="G322" s="47">
        <v>402</v>
      </c>
      <c r="H322" s="41"/>
      <c r="I322" s="120"/>
    </row>
    <row r="323" spans="1:9" s="1" customFormat="1" ht="61.5" customHeight="1">
      <c r="A323" s="55" t="s">
        <v>577</v>
      </c>
      <c r="B323" s="36" t="s">
        <v>77</v>
      </c>
      <c r="C323" s="36" t="s">
        <v>578</v>
      </c>
      <c r="D323" s="44"/>
      <c r="E323" s="47">
        <f>E324+E326</f>
        <v>160.8</v>
      </c>
      <c r="F323" s="41"/>
      <c r="G323" s="47">
        <f>G324+G326</f>
        <v>160.8</v>
      </c>
      <c r="H323" s="41"/>
      <c r="I323" s="120"/>
    </row>
    <row r="324" spans="1:9" s="1" customFormat="1" ht="60.75" customHeight="1">
      <c r="A324" s="55" t="s">
        <v>320</v>
      </c>
      <c r="B324" s="36" t="s">
        <v>77</v>
      </c>
      <c r="C324" s="36" t="s">
        <v>578</v>
      </c>
      <c r="D324" s="44" t="s">
        <v>175</v>
      </c>
      <c r="E324" s="47">
        <f>E325</f>
        <v>134</v>
      </c>
      <c r="F324" s="41"/>
      <c r="G324" s="47">
        <f>G325</f>
        <v>134</v>
      </c>
      <c r="H324" s="41"/>
      <c r="I324" s="120"/>
    </row>
    <row r="325" spans="1:9" s="1" customFormat="1" ht="21" customHeight="1">
      <c r="A325" s="55" t="s">
        <v>322</v>
      </c>
      <c r="B325" s="36" t="s">
        <v>77</v>
      </c>
      <c r="C325" s="36" t="s">
        <v>578</v>
      </c>
      <c r="D325" s="44" t="s">
        <v>321</v>
      </c>
      <c r="E325" s="47">
        <f>134</f>
        <v>134</v>
      </c>
      <c r="F325" s="41"/>
      <c r="G325" s="47">
        <v>134</v>
      </c>
      <c r="H325" s="41"/>
      <c r="I325" s="120"/>
    </row>
    <row r="326" spans="1:9" s="1" customFormat="1" ht="21.75" customHeight="1">
      <c r="A326" s="55" t="s">
        <v>170</v>
      </c>
      <c r="B326" s="36" t="s">
        <v>77</v>
      </c>
      <c r="C326" s="36" t="s">
        <v>578</v>
      </c>
      <c r="D326" s="44" t="s">
        <v>169</v>
      </c>
      <c r="E326" s="47">
        <f>E327</f>
        <v>26.8</v>
      </c>
      <c r="F326" s="41"/>
      <c r="G326" s="47">
        <f>G327</f>
        <v>26.8</v>
      </c>
      <c r="H326" s="41"/>
      <c r="I326" s="120"/>
    </row>
    <row r="327" spans="1:9" s="1" customFormat="1" ht="31.5" customHeight="1">
      <c r="A327" s="55" t="s">
        <v>172</v>
      </c>
      <c r="B327" s="36" t="s">
        <v>77</v>
      </c>
      <c r="C327" s="36" t="s">
        <v>578</v>
      </c>
      <c r="D327" s="44" t="s">
        <v>171</v>
      </c>
      <c r="E327" s="47">
        <f>26.8</f>
        <v>26.8</v>
      </c>
      <c r="F327" s="41"/>
      <c r="G327" s="47">
        <v>26.8</v>
      </c>
      <c r="H327" s="41"/>
      <c r="I327" s="120"/>
    </row>
    <row r="328" spans="1:9" s="1" customFormat="1" ht="57.75" customHeight="1">
      <c r="A328" s="55" t="s">
        <v>588</v>
      </c>
      <c r="B328" s="36" t="s">
        <v>77</v>
      </c>
      <c r="C328" s="36" t="s">
        <v>587</v>
      </c>
      <c r="D328" s="44"/>
      <c r="E328" s="47">
        <f>E329</f>
        <v>160.8</v>
      </c>
      <c r="F328" s="41"/>
      <c r="G328" s="47">
        <f>G329</f>
        <v>160.8</v>
      </c>
      <c r="H328" s="41"/>
      <c r="I328" s="120"/>
    </row>
    <row r="329" spans="1:9" s="1" customFormat="1" ht="58.5" customHeight="1">
      <c r="A329" s="55" t="s">
        <v>320</v>
      </c>
      <c r="B329" s="36" t="s">
        <v>77</v>
      </c>
      <c r="C329" s="36" t="s">
        <v>587</v>
      </c>
      <c r="D329" s="44" t="s">
        <v>175</v>
      </c>
      <c r="E329" s="47">
        <f>E330</f>
        <v>160.8</v>
      </c>
      <c r="F329" s="41"/>
      <c r="G329" s="47">
        <f>G330</f>
        <v>160.8</v>
      </c>
      <c r="H329" s="41"/>
      <c r="I329" s="120"/>
    </row>
    <row r="330" spans="1:9" s="1" customFormat="1" ht="24.75" customHeight="1">
      <c r="A330" s="55" t="s">
        <v>322</v>
      </c>
      <c r="B330" s="36" t="s">
        <v>77</v>
      </c>
      <c r="C330" s="36" t="s">
        <v>587</v>
      </c>
      <c r="D330" s="44" t="s">
        <v>321</v>
      </c>
      <c r="E330" s="47">
        <v>160.8</v>
      </c>
      <c r="F330" s="41"/>
      <c r="G330" s="47">
        <v>160.8</v>
      </c>
      <c r="H330" s="41"/>
      <c r="I330" s="120"/>
    </row>
    <row r="331" spans="1:9" s="1" customFormat="1" ht="60.75" customHeight="1">
      <c r="A331" s="55" t="s">
        <v>579</v>
      </c>
      <c r="B331" s="36" t="s">
        <v>77</v>
      </c>
      <c r="C331" s="36" t="s">
        <v>580</v>
      </c>
      <c r="D331" s="44"/>
      <c r="E331" s="47">
        <f>E332+E334</f>
        <v>160.8</v>
      </c>
      <c r="F331" s="41"/>
      <c r="G331" s="47">
        <f>G332+G334</f>
        <v>160.8</v>
      </c>
      <c r="H331" s="41"/>
      <c r="I331" s="120"/>
    </row>
    <row r="332" spans="1:9" s="1" customFormat="1" ht="59.25" customHeight="1">
      <c r="A332" s="55" t="s">
        <v>320</v>
      </c>
      <c r="B332" s="36" t="s">
        <v>77</v>
      </c>
      <c r="C332" s="36" t="s">
        <v>580</v>
      </c>
      <c r="D332" s="44" t="s">
        <v>175</v>
      </c>
      <c r="E332" s="47">
        <f>E333</f>
        <v>134</v>
      </c>
      <c r="F332" s="41"/>
      <c r="G332" s="47">
        <f>G333</f>
        <v>134</v>
      </c>
      <c r="H332" s="41"/>
      <c r="I332" s="120"/>
    </row>
    <row r="333" spans="1:9" s="1" customFormat="1" ht="20.25" customHeight="1">
      <c r="A333" s="55" t="s">
        <v>322</v>
      </c>
      <c r="B333" s="36" t="s">
        <v>77</v>
      </c>
      <c r="C333" s="36" t="s">
        <v>580</v>
      </c>
      <c r="D333" s="44" t="s">
        <v>321</v>
      </c>
      <c r="E333" s="47">
        <f>134</f>
        <v>134</v>
      </c>
      <c r="F333" s="41"/>
      <c r="G333" s="47">
        <v>134</v>
      </c>
      <c r="H333" s="41"/>
      <c r="I333" s="120"/>
    </row>
    <row r="334" spans="1:9" s="1" customFormat="1" ht="27" customHeight="1">
      <c r="A334" s="55" t="s">
        <v>170</v>
      </c>
      <c r="B334" s="36" t="s">
        <v>77</v>
      </c>
      <c r="C334" s="36" t="s">
        <v>580</v>
      </c>
      <c r="D334" s="44" t="s">
        <v>169</v>
      </c>
      <c r="E334" s="47">
        <f>E335</f>
        <v>26.8</v>
      </c>
      <c r="F334" s="41"/>
      <c r="G334" s="47">
        <f>G335</f>
        <v>26.8</v>
      </c>
      <c r="H334" s="41"/>
      <c r="I334" s="120"/>
    </row>
    <row r="335" spans="1:9" s="1" customFormat="1" ht="33.75" customHeight="1">
      <c r="A335" s="55" t="s">
        <v>172</v>
      </c>
      <c r="B335" s="36" t="s">
        <v>77</v>
      </c>
      <c r="C335" s="36" t="s">
        <v>580</v>
      </c>
      <c r="D335" s="44" t="s">
        <v>171</v>
      </c>
      <c r="E335" s="47">
        <f>26.8</f>
        <v>26.8</v>
      </c>
      <c r="F335" s="41"/>
      <c r="G335" s="47">
        <v>26.8</v>
      </c>
      <c r="H335" s="41"/>
      <c r="I335" s="120"/>
    </row>
    <row r="336" spans="1:9" s="1" customFormat="1" ht="59.25" customHeight="1">
      <c r="A336" s="55" t="s">
        <v>581</v>
      </c>
      <c r="B336" s="36" t="s">
        <v>77</v>
      </c>
      <c r="C336" s="36" t="s">
        <v>582</v>
      </c>
      <c r="D336" s="44"/>
      <c r="E336" s="47">
        <f>E337</f>
        <v>80.4</v>
      </c>
      <c r="F336" s="41"/>
      <c r="G336" s="47">
        <f>G337</f>
        <v>80.4</v>
      </c>
      <c r="H336" s="41"/>
      <c r="I336" s="120"/>
    </row>
    <row r="337" spans="1:9" s="1" customFormat="1" ht="60.75" customHeight="1">
      <c r="A337" s="55" t="s">
        <v>320</v>
      </c>
      <c r="B337" s="36" t="s">
        <v>77</v>
      </c>
      <c r="C337" s="36" t="s">
        <v>582</v>
      </c>
      <c r="D337" s="44" t="s">
        <v>175</v>
      </c>
      <c r="E337" s="47">
        <f>E338</f>
        <v>80.4</v>
      </c>
      <c r="F337" s="41"/>
      <c r="G337" s="47">
        <f>G338</f>
        <v>80.4</v>
      </c>
      <c r="H337" s="41"/>
      <c r="I337" s="120"/>
    </row>
    <row r="338" spans="1:9" s="1" customFormat="1" ht="20.25" customHeight="1">
      <c r="A338" s="55" t="s">
        <v>322</v>
      </c>
      <c r="B338" s="36" t="s">
        <v>77</v>
      </c>
      <c r="C338" s="36" t="s">
        <v>582</v>
      </c>
      <c r="D338" s="44" t="s">
        <v>321</v>
      </c>
      <c r="E338" s="47">
        <v>80.4</v>
      </c>
      <c r="F338" s="41"/>
      <c r="G338" s="47">
        <v>80.4</v>
      </c>
      <c r="H338" s="41"/>
      <c r="I338" s="120"/>
    </row>
    <row r="339" spans="1:9" s="1" customFormat="1" ht="57.75" customHeight="1">
      <c r="A339" s="55" t="s">
        <v>583</v>
      </c>
      <c r="B339" s="44" t="s">
        <v>77</v>
      </c>
      <c r="C339" s="44" t="s">
        <v>584</v>
      </c>
      <c r="D339" s="44"/>
      <c r="E339" s="47">
        <f>E340</f>
        <v>71.2</v>
      </c>
      <c r="F339" s="41"/>
      <c r="G339" s="47">
        <f>G340</f>
        <v>71.2</v>
      </c>
      <c r="H339" s="41"/>
      <c r="I339" s="120"/>
    </row>
    <row r="340" spans="1:9" s="1" customFormat="1" ht="57.75" customHeight="1">
      <c r="A340" s="55" t="s">
        <v>320</v>
      </c>
      <c r="B340" s="36" t="s">
        <v>77</v>
      </c>
      <c r="C340" s="36" t="s">
        <v>584</v>
      </c>
      <c r="D340" s="44" t="s">
        <v>175</v>
      </c>
      <c r="E340" s="47">
        <f>E341</f>
        <v>71.2</v>
      </c>
      <c r="F340" s="41"/>
      <c r="G340" s="47">
        <f>G341</f>
        <v>71.2</v>
      </c>
      <c r="H340" s="41"/>
      <c r="I340" s="120"/>
    </row>
    <row r="341" spans="1:9" s="1" customFormat="1" ht="21" customHeight="1">
      <c r="A341" s="55" t="s">
        <v>322</v>
      </c>
      <c r="B341" s="36" t="s">
        <v>77</v>
      </c>
      <c r="C341" s="36" t="s">
        <v>584</v>
      </c>
      <c r="D341" s="44" t="s">
        <v>321</v>
      </c>
      <c r="E341" s="47">
        <v>71.2</v>
      </c>
      <c r="F341" s="41"/>
      <c r="G341" s="47">
        <v>71.2</v>
      </c>
      <c r="H341" s="41"/>
      <c r="I341" s="120"/>
    </row>
    <row r="342" spans="1:9" s="1" customFormat="1" ht="91.5" customHeight="1">
      <c r="A342" s="53" t="s">
        <v>8</v>
      </c>
      <c r="B342" s="36" t="s">
        <v>77</v>
      </c>
      <c r="C342" s="36" t="s">
        <v>38</v>
      </c>
      <c r="D342" s="36"/>
      <c r="E342" s="37">
        <f>E343+E346+E352+E349+E355</f>
        <v>136664.6</v>
      </c>
      <c r="F342" s="37">
        <f>F343+F346+F352</f>
        <v>8666</v>
      </c>
      <c r="G342" s="37">
        <f>G343+G346+G352+G349+G355</f>
        <v>136494.1</v>
      </c>
      <c r="H342" s="37">
        <f>H343+H346+H352</f>
        <v>8495.5</v>
      </c>
      <c r="I342" s="120"/>
    </row>
    <row r="343" spans="1:9" s="1" customFormat="1" ht="48" customHeight="1">
      <c r="A343" s="53" t="s">
        <v>496</v>
      </c>
      <c r="B343" s="36" t="s">
        <v>77</v>
      </c>
      <c r="C343" s="36" t="s">
        <v>39</v>
      </c>
      <c r="D343" s="36"/>
      <c r="E343" s="37">
        <f>E344</f>
        <v>127600.6</v>
      </c>
      <c r="F343" s="37"/>
      <c r="G343" s="37">
        <f>G344</f>
        <v>127600.6</v>
      </c>
      <c r="H343" s="37"/>
      <c r="I343" s="120"/>
    </row>
    <row r="344" spans="1:9" s="1" customFormat="1" ht="36" customHeight="1">
      <c r="A344" s="33" t="s">
        <v>328</v>
      </c>
      <c r="B344" s="36" t="s">
        <v>77</v>
      </c>
      <c r="C344" s="36" t="s">
        <v>39</v>
      </c>
      <c r="D344" s="36" t="s">
        <v>327</v>
      </c>
      <c r="E344" s="37">
        <f>E345</f>
        <v>127600.6</v>
      </c>
      <c r="F344" s="37"/>
      <c r="G344" s="37">
        <f>G345</f>
        <v>127600.6</v>
      </c>
      <c r="H344" s="37"/>
      <c r="I344" s="120"/>
    </row>
    <row r="345" spans="1:9" s="1" customFormat="1" ht="21.75" customHeight="1">
      <c r="A345" s="40" t="s">
        <v>326</v>
      </c>
      <c r="B345" s="36" t="s">
        <v>77</v>
      </c>
      <c r="C345" s="36" t="s">
        <v>39</v>
      </c>
      <c r="D345" s="36" t="s">
        <v>325</v>
      </c>
      <c r="E345" s="37">
        <f>98571+28700+727.6-383-15</f>
        <v>127600.6</v>
      </c>
      <c r="F345" s="37"/>
      <c r="G345" s="37">
        <v>127600.6</v>
      </c>
      <c r="H345" s="37"/>
      <c r="I345" s="120"/>
    </row>
    <row r="346" spans="1:9" s="1" customFormat="1" ht="48" customHeight="1">
      <c r="A346" s="40" t="s">
        <v>739</v>
      </c>
      <c r="B346" s="36" t="s">
        <v>77</v>
      </c>
      <c r="C346" s="36" t="s">
        <v>743</v>
      </c>
      <c r="D346" s="8"/>
      <c r="E346" s="37">
        <f aca="true" t="shared" si="4" ref="E346:H347">E347</f>
        <v>7273</v>
      </c>
      <c r="F346" s="37">
        <f t="shared" si="4"/>
        <v>7273</v>
      </c>
      <c r="G346" s="37">
        <f t="shared" si="4"/>
        <v>7273</v>
      </c>
      <c r="H346" s="37">
        <f t="shared" si="4"/>
        <v>7273</v>
      </c>
      <c r="I346" s="120"/>
    </row>
    <row r="347" spans="1:9" s="1" customFormat="1" ht="28.5" customHeight="1">
      <c r="A347" s="33" t="s">
        <v>328</v>
      </c>
      <c r="B347" s="36" t="s">
        <v>77</v>
      </c>
      <c r="C347" s="36" t="s">
        <v>743</v>
      </c>
      <c r="D347" s="8" t="s">
        <v>327</v>
      </c>
      <c r="E347" s="37">
        <f t="shared" si="4"/>
        <v>7273</v>
      </c>
      <c r="F347" s="37">
        <f t="shared" si="4"/>
        <v>7273</v>
      </c>
      <c r="G347" s="37">
        <f t="shared" si="4"/>
        <v>7273</v>
      </c>
      <c r="H347" s="37">
        <f t="shared" si="4"/>
        <v>7273</v>
      </c>
      <c r="I347" s="120"/>
    </row>
    <row r="348" spans="1:9" s="1" customFormat="1" ht="21.75" customHeight="1">
      <c r="A348" s="115" t="s">
        <v>326</v>
      </c>
      <c r="B348" s="36" t="s">
        <v>77</v>
      </c>
      <c r="C348" s="36" t="s">
        <v>743</v>
      </c>
      <c r="D348" s="8" t="s">
        <v>325</v>
      </c>
      <c r="E348" s="37">
        <v>7273</v>
      </c>
      <c r="F348" s="37">
        <f>E348</f>
        <v>7273</v>
      </c>
      <c r="G348" s="37">
        <v>7273</v>
      </c>
      <c r="H348" s="37">
        <f>G348</f>
        <v>7273</v>
      </c>
      <c r="I348" s="120"/>
    </row>
    <row r="349" spans="1:9" s="1" customFormat="1" ht="45.75" customHeight="1">
      <c r="A349" s="40" t="s">
        <v>745</v>
      </c>
      <c r="B349" s="36" t="s">
        <v>77</v>
      </c>
      <c r="C349" s="36" t="s">
        <v>743</v>
      </c>
      <c r="D349" s="8"/>
      <c r="E349" s="37">
        <f aca="true" t="shared" si="5" ref="E349:H350">E350</f>
        <v>383</v>
      </c>
      <c r="F349" s="37">
        <f t="shared" si="5"/>
        <v>0</v>
      </c>
      <c r="G349" s="37">
        <f t="shared" si="5"/>
        <v>383</v>
      </c>
      <c r="H349" s="37">
        <f t="shared" si="5"/>
        <v>0</v>
      </c>
      <c r="I349" s="120"/>
    </row>
    <row r="350" spans="1:9" s="1" customFormat="1" ht="30.75" customHeight="1">
      <c r="A350" s="33" t="s">
        <v>328</v>
      </c>
      <c r="B350" s="36" t="s">
        <v>77</v>
      </c>
      <c r="C350" s="36" t="s">
        <v>743</v>
      </c>
      <c r="D350" s="8" t="s">
        <v>327</v>
      </c>
      <c r="E350" s="37">
        <f t="shared" si="5"/>
        <v>383</v>
      </c>
      <c r="F350" s="37">
        <f t="shared" si="5"/>
        <v>0</v>
      </c>
      <c r="G350" s="37">
        <f t="shared" si="5"/>
        <v>383</v>
      </c>
      <c r="H350" s="37">
        <f t="shared" si="5"/>
        <v>0</v>
      </c>
      <c r="I350" s="120"/>
    </row>
    <row r="351" spans="1:9" s="1" customFormat="1" ht="21.75" customHeight="1">
      <c r="A351" s="115" t="s">
        <v>326</v>
      </c>
      <c r="B351" s="36" t="s">
        <v>77</v>
      </c>
      <c r="C351" s="36" t="s">
        <v>743</v>
      </c>
      <c r="D351" s="8" t="s">
        <v>325</v>
      </c>
      <c r="E351" s="37">
        <v>383</v>
      </c>
      <c r="F351" s="37">
        <v>0</v>
      </c>
      <c r="G351" s="37">
        <v>383</v>
      </c>
      <c r="H351" s="37">
        <v>0</v>
      </c>
      <c r="I351" s="120"/>
    </row>
    <row r="352" spans="1:9" s="1" customFormat="1" ht="105.75" customHeight="1">
      <c r="A352" s="40" t="s">
        <v>740</v>
      </c>
      <c r="B352" s="36" t="s">
        <v>77</v>
      </c>
      <c r="C352" s="36" t="s">
        <v>744</v>
      </c>
      <c r="D352" s="8"/>
      <c r="E352" s="37">
        <f aca="true" t="shared" si="6" ref="E352:H353">E353</f>
        <v>1393</v>
      </c>
      <c r="F352" s="37">
        <f t="shared" si="6"/>
        <v>1393</v>
      </c>
      <c r="G352" s="37">
        <f t="shared" si="6"/>
        <v>1222.5</v>
      </c>
      <c r="H352" s="37">
        <f t="shared" si="6"/>
        <v>1222.5</v>
      </c>
      <c r="I352" s="120"/>
    </row>
    <row r="353" spans="1:9" s="1" customFormat="1" ht="29.25" customHeight="1">
      <c r="A353" s="33" t="s">
        <v>328</v>
      </c>
      <c r="B353" s="36" t="s">
        <v>77</v>
      </c>
      <c r="C353" s="36" t="s">
        <v>744</v>
      </c>
      <c r="D353" s="8" t="s">
        <v>327</v>
      </c>
      <c r="E353" s="37">
        <f t="shared" si="6"/>
        <v>1393</v>
      </c>
      <c r="F353" s="37">
        <f t="shared" si="6"/>
        <v>1393</v>
      </c>
      <c r="G353" s="37">
        <f t="shared" si="6"/>
        <v>1222.5</v>
      </c>
      <c r="H353" s="37">
        <f t="shared" si="6"/>
        <v>1222.5</v>
      </c>
      <c r="I353" s="120"/>
    </row>
    <row r="354" spans="1:9" s="1" customFormat="1" ht="21.75" customHeight="1">
      <c r="A354" s="115" t="s">
        <v>326</v>
      </c>
      <c r="B354" s="36" t="s">
        <v>77</v>
      </c>
      <c r="C354" s="36" t="s">
        <v>744</v>
      </c>
      <c r="D354" s="8" t="s">
        <v>325</v>
      </c>
      <c r="E354" s="37">
        <v>1393</v>
      </c>
      <c r="F354" s="37">
        <f>E354</f>
        <v>1393</v>
      </c>
      <c r="G354" s="37">
        <v>1222.5</v>
      </c>
      <c r="H354" s="37">
        <f>G354</f>
        <v>1222.5</v>
      </c>
      <c r="I354" s="120"/>
    </row>
    <row r="355" spans="1:9" s="1" customFormat="1" ht="89.25" customHeight="1">
      <c r="A355" s="40" t="s">
        <v>746</v>
      </c>
      <c r="B355" s="36" t="s">
        <v>77</v>
      </c>
      <c r="C355" s="36" t="s">
        <v>744</v>
      </c>
      <c r="D355" s="8"/>
      <c r="E355" s="37">
        <f aca="true" t="shared" si="7" ref="E355:H356">E356</f>
        <v>15</v>
      </c>
      <c r="F355" s="37">
        <f t="shared" si="7"/>
        <v>0</v>
      </c>
      <c r="G355" s="37">
        <f t="shared" si="7"/>
        <v>15</v>
      </c>
      <c r="H355" s="37">
        <f t="shared" si="7"/>
        <v>0</v>
      </c>
      <c r="I355" s="120"/>
    </row>
    <row r="356" spans="1:9" s="1" customFormat="1" ht="30" customHeight="1">
      <c r="A356" s="33" t="s">
        <v>328</v>
      </c>
      <c r="B356" s="36" t="s">
        <v>77</v>
      </c>
      <c r="C356" s="36" t="s">
        <v>744</v>
      </c>
      <c r="D356" s="8" t="s">
        <v>327</v>
      </c>
      <c r="E356" s="37">
        <f t="shared" si="7"/>
        <v>15</v>
      </c>
      <c r="F356" s="37">
        <f t="shared" si="7"/>
        <v>0</v>
      </c>
      <c r="G356" s="37">
        <f t="shared" si="7"/>
        <v>15</v>
      </c>
      <c r="H356" s="37">
        <f t="shared" si="7"/>
        <v>0</v>
      </c>
      <c r="I356" s="120"/>
    </row>
    <row r="357" spans="1:9" s="1" customFormat="1" ht="21.75" customHeight="1">
      <c r="A357" s="115" t="s">
        <v>326</v>
      </c>
      <c r="B357" s="36" t="s">
        <v>77</v>
      </c>
      <c r="C357" s="36" t="s">
        <v>744</v>
      </c>
      <c r="D357" s="8" t="s">
        <v>325</v>
      </c>
      <c r="E357" s="37">
        <v>15</v>
      </c>
      <c r="F357" s="37">
        <v>0</v>
      </c>
      <c r="G357" s="37">
        <v>15</v>
      </c>
      <c r="H357" s="37">
        <v>0</v>
      </c>
      <c r="I357" s="120"/>
    </row>
    <row r="358" spans="1:9" s="1" customFormat="1" ht="46.5" customHeight="1">
      <c r="A358" s="43" t="s">
        <v>10</v>
      </c>
      <c r="B358" s="44" t="s">
        <v>77</v>
      </c>
      <c r="C358" s="45" t="s">
        <v>34</v>
      </c>
      <c r="D358" s="45"/>
      <c r="E358" s="41">
        <f>E359</f>
        <v>5080.700000000001</v>
      </c>
      <c r="F358" s="41">
        <f>F359</f>
        <v>0</v>
      </c>
      <c r="G358" s="41">
        <f>G359</f>
        <v>4269.2</v>
      </c>
      <c r="H358" s="41">
        <f>H359</f>
        <v>0</v>
      </c>
      <c r="I358" s="120"/>
    </row>
    <row r="359" spans="1:9" s="1" customFormat="1" ht="21" customHeight="1">
      <c r="A359" s="43" t="s">
        <v>192</v>
      </c>
      <c r="B359" s="44" t="s">
        <v>77</v>
      </c>
      <c r="C359" s="45" t="s">
        <v>191</v>
      </c>
      <c r="D359" s="45"/>
      <c r="E359" s="50">
        <f>E360+E362</f>
        <v>5080.700000000001</v>
      </c>
      <c r="F359" s="93"/>
      <c r="G359" s="50">
        <f>G360+G362</f>
        <v>4269.2</v>
      </c>
      <c r="H359" s="93"/>
      <c r="I359" s="120"/>
    </row>
    <row r="360" spans="1:9" s="1" customFormat="1" ht="18" customHeight="1">
      <c r="A360" s="43" t="s">
        <v>170</v>
      </c>
      <c r="B360" s="44" t="s">
        <v>77</v>
      </c>
      <c r="C360" s="45" t="s">
        <v>191</v>
      </c>
      <c r="D360" s="45" t="s">
        <v>169</v>
      </c>
      <c r="E360" s="50">
        <f>E361</f>
        <v>2388.3</v>
      </c>
      <c r="F360" s="93"/>
      <c r="G360" s="50">
        <f>G361</f>
        <v>1622.8</v>
      </c>
      <c r="H360" s="93"/>
      <c r="I360" s="120"/>
    </row>
    <row r="361" spans="1:9" s="1" customFormat="1" ht="30.75" customHeight="1">
      <c r="A361" s="55" t="s">
        <v>172</v>
      </c>
      <c r="B361" s="44" t="s">
        <v>77</v>
      </c>
      <c r="C361" s="45" t="s">
        <v>191</v>
      </c>
      <c r="D361" s="44" t="s">
        <v>171</v>
      </c>
      <c r="E361" s="47">
        <f>6280-1036.9-505.5-1000-185.5-55.9-1107.9</f>
        <v>2388.3</v>
      </c>
      <c r="F361" s="80"/>
      <c r="G361" s="47">
        <v>1622.8</v>
      </c>
      <c r="H361" s="80"/>
      <c r="I361" s="120"/>
    </row>
    <row r="362" spans="1:9" s="1" customFormat="1" ht="30.75" customHeight="1">
      <c r="A362" s="33" t="s">
        <v>328</v>
      </c>
      <c r="B362" s="44" t="s">
        <v>77</v>
      </c>
      <c r="C362" s="45" t="s">
        <v>191</v>
      </c>
      <c r="D362" s="44" t="s">
        <v>327</v>
      </c>
      <c r="E362" s="47">
        <f>E363</f>
        <v>2692.4</v>
      </c>
      <c r="F362" s="80"/>
      <c r="G362" s="47">
        <f>G363</f>
        <v>2646.4</v>
      </c>
      <c r="H362" s="80"/>
      <c r="I362" s="120"/>
    </row>
    <row r="363" spans="1:9" s="1" customFormat="1" ht="17.25" customHeight="1">
      <c r="A363" s="40" t="s">
        <v>326</v>
      </c>
      <c r="B363" s="44" t="s">
        <v>77</v>
      </c>
      <c r="C363" s="45" t="s">
        <v>191</v>
      </c>
      <c r="D363" s="44" t="s">
        <v>325</v>
      </c>
      <c r="E363" s="47">
        <f>1036.9+505.5+42.1+1107.9</f>
        <v>2692.4</v>
      </c>
      <c r="F363" s="80"/>
      <c r="G363" s="47">
        <v>2646.4</v>
      </c>
      <c r="H363" s="80"/>
      <c r="I363" s="120"/>
    </row>
    <row r="364" spans="1:9" s="5" customFormat="1" ht="19.5" customHeight="1">
      <c r="A364" s="19" t="s">
        <v>138</v>
      </c>
      <c r="B364" s="17" t="s">
        <v>139</v>
      </c>
      <c r="C364" s="17"/>
      <c r="D364" s="17"/>
      <c r="E364" s="18">
        <f aca="true" t="shared" si="8" ref="E364:G369">E365</f>
        <v>650</v>
      </c>
      <c r="F364" s="18"/>
      <c r="G364" s="18">
        <f t="shared" si="8"/>
        <v>632.6</v>
      </c>
      <c r="H364" s="18"/>
      <c r="I364" s="16">
        <f>G364/E364*100</f>
        <v>97.32307692307693</v>
      </c>
    </row>
    <row r="365" spans="1:9" s="1" customFormat="1" ht="18.75" customHeight="1">
      <c r="A365" s="56" t="s">
        <v>105</v>
      </c>
      <c r="B365" s="60" t="s">
        <v>146</v>
      </c>
      <c r="C365" s="60"/>
      <c r="D365" s="60"/>
      <c r="E365" s="11">
        <f t="shared" si="8"/>
        <v>650</v>
      </c>
      <c r="F365" s="11"/>
      <c r="G365" s="11">
        <f t="shared" si="8"/>
        <v>632.6</v>
      </c>
      <c r="H365" s="11"/>
      <c r="I365" s="16">
        <f>G365/E365*100</f>
        <v>97.32307692307693</v>
      </c>
    </row>
    <row r="366" spans="1:9" s="1" customFormat="1" ht="26.25" customHeight="1">
      <c r="A366" s="33" t="s">
        <v>238</v>
      </c>
      <c r="B366" s="36" t="s">
        <v>146</v>
      </c>
      <c r="C366" s="35" t="s">
        <v>20</v>
      </c>
      <c r="D366" s="36"/>
      <c r="E366" s="37">
        <f t="shared" si="8"/>
        <v>650</v>
      </c>
      <c r="F366" s="11"/>
      <c r="G366" s="37">
        <f t="shared" si="8"/>
        <v>632.6</v>
      </c>
      <c r="H366" s="11"/>
      <c r="I366" s="120"/>
    </row>
    <row r="367" spans="1:9" s="1" customFormat="1" ht="20.25" customHeight="1">
      <c r="A367" s="38" t="s">
        <v>41</v>
      </c>
      <c r="B367" s="36" t="s">
        <v>146</v>
      </c>
      <c r="C367" s="36" t="s">
        <v>21</v>
      </c>
      <c r="D367" s="36"/>
      <c r="E367" s="37">
        <f t="shared" si="8"/>
        <v>650</v>
      </c>
      <c r="F367" s="11"/>
      <c r="G367" s="37">
        <f t="shared" si="8"/>
        <v>632.6</v>
      </c>
      <c r="H367" s="11"/>
      <c r="I367" s="120"/>
    </row>
    <row r="368" spans="1:9" s="1" customFormat="1" ht="30">
      <c r="A368" s="38" t="s">
        <v>140</v>
      </c>
      <c r="B368" s="36" t="s">
        <v>146</v>
      </c>
      <c r="C368" s="36" t="s">
        <v>404</v>
      </c>
      <c r="D368" s="36"/>
      <c r="E368" s="37">
        <f t="shared" si="8"/>
        <v>650</v>
      </c>
      <c r="F368" s="37"/>
      <c r="G368" s="37">
        <f t="shared" si="8"/>
        <v>632.6</v>
      </c>
      <c r="H368" s="37"/>
      <c r="I368" s="120"/>
    </row>
    <row r="369" spans="1:9" s="1" customFormat="1" ht="19.5" customHeight="1">
      <c r="A369" s="43" t="s">
        <v>170</v>
      </c>
      <c r="B369" s="36" t="s">
        <v>146</v>
      </c>
      <c r="C369" s="36" t="str">
        <f>$C$368</f>
        <v>12 5 00 01030</v>
      </c>
      <c r="D369" s="36" t="s">
        <v>169</v>
      </c>
      <c r="E369" s="37">
        <f t="shared" si="8"/>
        <v>650</v>
      </c>
      <c r="F369" s="37"/>
      <c r="G369" s="37">
        <f t="shared" si="8"/>
        <v>632.6</v>
      </c>
      <c r="H369" s="37"/>
      <c r="I369" s="120"/>
    </row>
    <row r="370" spans="1:9" s="1" customFormat="1" ht="31.5" customHeight="1">
      <c r="A370" s="43" t="s">
        <v>172</v>
      </c>
      <c r="B370" s="36" t="s">
        <v>146</v>
      </c>
      <c r="C370" s="36" t="str">
        <f>$C$368</f>
        <v>12 5 00 01030</v>
      </c>
      <c r="D370" s="36" t="s">
        <v>171</v>
      </c>
      <c r="E370" s="37">
        <f>650</f>
        <v>650</v>
      </c>
      <c r="F370" s="37"/>
      <c r="G370" s="37">
        <v>632.6</v>
      </c>
      <c r="H370" s="37"/>
      <c r="I370" s="120"/>
    </row>
    <row r="371" spans="1:9" s="5" customFormat="1" ht="32.25" customHeight="1">
      <c r="A371" s="20" t="s">
        <v>111</v>
      </c>
      <c r="B371" s="17" t="s">
        <v>112</v>
      </c>
      <c r="C371" s="17"/>
      <c r="D371" s="17"/>
      <c r="E371" s="18">
        <f>E372+E393</f>
        <v>50232.899999999994</v>
      </c>
      <c r="F371" s="18">
        <f>F372</f>
        <v>0</v>
      </c>
      <c r="G371" s="18">
        <f>G372+G393</f>
        <v>49147.7</v>
      </c>
      <c r="H371" s="18">
        <f>H372</f>
        <v>0</v>
      </c>
      <c r="I371" s="16">
        <f>G371/E371*100</f>
        <v>97.83966285044265</v>
      </c>
    </row>
    <row r="372" spans="1:9" s="1" customFormat="1" ht="45">
      <c r="A372" s="56" t="s">
        <v>62</v>
      </c>
      <c r="B372" s="60" t="s">
        <v>113</v>
      </c>
      <c r="C372" s="60"/>
      <c r="D372" s="62"/>
      <c r="E372" s="9">
        <f>E373</f>
        <v>36512.899999999994</v>
      </c>
      <c r="F372" s="9"/>
      <c r="G372" s="9">
        <f>G373</f>
        <v>36488.399999999994</v>
      </c>
      <c r="H372" s="9"/>
      <c r="I372" s="16">
        <f>G372/E372*100</f>
        <v>99.93290042697238</v>
      </c>
    </row>
    <row r="373" spans="1:9" s="1" customFormat="1" ht="36" customHeight="1">
      <c r="A373" s="57" t="s">
        <v>259</v>
      </c>
      <c r="B373" s="36" t="s">
        <v>113</v>
      </c>
      <c r="C373" s="44" t="s">
        <v>405</v>
      </c>
      <c r="D373" s="34"/>
      <c r="E373" s="37">
        <f>E374+E389+E385</f>
        <v>36512.899999999994</v>
      </c>
      <c r="F373" s="36"/>
      <c r="G373" s="37">
        <f>G374+G389+G385</f>
        <v>36488.399999999994</v>
      </c>
      <c r="H373" s="36"/>
      <c r="I373" s="120"/>
    </row>
    <row r="374" spans="1:9" s="1" customFormat="1" ht="48" customHeight="1">
      <c r="A374" s="57" t="s">
        <v>1</v>
      </c>
      <c r="B374" s="36" t="s">
        <v>113</v>
      </c>
      <c r="C374" s="45" t="s">
        <v>407</v>
      </c>
      <c r="D374" s="35"/>
      <c r="E374" s="54">
        <f>E378+E375</f>
        <v>33882.899999999994</v>
      </c>
      <c r="F374" s="36"/>
      <c r="G374" s="54">
        <f>G378+G375</f>
        <v>33864.799999999996</v>
      </c>
      <c r="H374" s="36"/>
      <c r="I374" s="120"/>
    </row>
    <row r="375" spans="1:9" s="1" customFormat="1" ht="45.75" customHeight="1">
      <c r="A375" s="57" t="s">
        <v>411</v>
      </c>
      <c r="B375" s="36" t="s">
        <v>113</v>
      </c>
      <c r="C375" s="45" t="s">
        <v>412</v>
      </c>
      <c r="D375" s="35"/>
      <c r="E375" s="37">
        <f>E376</f>
        <v>2410</v>
      </c>
      <c r="F375" s="36"/>
      <c r="G375" s="37">
        <f>G376</f>
        <v>2391.9</v>
      </c>
      <c r="H375" s="36"/>
      <c r="I375" s="120"/>
    </row>
    <row r="376" spans="1:9" s="1" customFormat="1" ht="27" customHeight="1">
      <c r="A376" s="43" t="s">
        <v>170</v>
      </c>
      <c r="B376" s="36" t="s">
        <v>113</v>
      </c>
      <c r="C376" s="45" t="s">
        <v>412</v>
      </c>
      <c r="D376" s="35" t="s">
        <v>169</v>
      </c>
      <c r="E376" s="54">
        <f>E377</f>
        <v>2410</v>
      </c>
      <c r="F376" s="36"/>
      <c r="G376" s="54">
        <f>G377</f>
        <v>2391.9</v>
      </c>
      <c r="H376" s="36"/>
      <c r="I376" s="120"/>
    </row>
    <row r="377" spans="1:9" s="1" customFormat="1" ht="33" customHeight="1">
      <c r="A377" s="43" t="s">
        <v>172</v>
      </c>
      <c r="B377" s="36" t="s">
        <v>113</v>
      </c>
      <c r="C377" s="45" t="s">
        <v>412</v>
      </c>
      <c r="D377" s="35" t="s">
        <v>171</v>
      </c>
      <c r="E377" s="54">
        <f>2410</f>
        <v>2410</v>
      </c>
      <c r="F377" s="36"/>
      <c r="G377" s="54">
        <v>2391.9</v>
      </c>
      <c r="H377" s="36"/>
      <c r="I377" s="120"/>
    </row>
    <row r="378" spans="1:9" s="1" customFormat="1" ht="29.25" customHeight="1">
      <c r="A378" s="52" t="s">
        <v>218</v>
      </c>
      <c r="B378" s="36" t="s">
        <v>113</v>
      </c>
      <c r="C378" s="45" t="s">
        <v>219</v>
      </c>
      <c r="D378" s="35"/>
      <c r="E378" s="54">
        <f>E379+E381+E383</f>
        <v>31472.899999999998</v>
      </c>
      <c r="F378" s="36"/>
      <c r="G378" s="54">
        <f>G379+G381+G383</f>
        <v>31472.899999999998</v>
      </c>
      <c r="H378" s="36"/>
      <c r="I378" s="120"/>
    </row>
    <row r="379" spans="1:9" s="1" customFormat="1" ht="63.75" customHeight="1">
      <c r="A379" s="53" t="s">
        <v>320</v>
      </c>
      <c r="B379" s="36" t="s">
        <v>113</v>
      </c>
      <c r="C379" s="45" t="s">
        <v>219</v>
      </c>
      <c r="D379" s="35" t="s">
        <v>175</v>
      </c>
      <c r="E379" s="54">
        <f>E380</f>
        <v>27339.1</v>
      </c>
      <c r="F379" s="36"/>
      <c r="G379" s="54">
        <f>G380</f>
        <v>27339.1</v>
      </c>
      <c r="H379" s="36"/>
      <c r="I379" s="120"/>
    </row>
    <row r="380" spans="1:9" s="1" customFormat="1" ht="24.75" customHeight="1">
      <c r="A380" s="53" t="s">
        <v>322</v>
      </c>
      <c r="B380" s="36" t="s">
        <v>113</v>
      </c>
      <c r="C380" s="45" t="s">
        <v>219</v>
      </c>
      <c r="D380" s="35" t="s">
        <v>321</v>
      </c>
      <c r="E380" s="54">
        <f>26084.1+1255</f>
        <v>27339.1</v>
      </c>
      <c r="F380" s="36"/>
      <c r="G380" s="54">
        <v>27339.1</v>
      </c>
      <c r="H380" s="36"/>
      <c r="I380" s="120"/>
    </row>
    <row r="381" spans="1:9" s="1" customFormat="1" ht="20.25" customHeight="1">
      <c r="A381" s="43" t="s">
        <v>170</v>
      </c>
      <c r="B381" s="36" t="s">
        <v>113</v>
      </c>
      <c r="C381" s="45" t="s">
        <v>219</v>
      </c>
      <c r="D381" s="35" t="s">
        <v>169</v>
      </c>
      <c r="E381" s="54">
        <f>E382</f>
        <v>3955.8</v>
      </c>
      <c r="F381" s="36"/>
      <c r="G381" s="54">
        <f>G382</f>
        <v>3955.8</v>
      </c>
      <c r="H381" s="36"/>
      <c r="I381" s="120"/>
    </row>
    <row r="382" spans="1:9" s="1" customFormat="1" ht="36" customHeight="1">
      <c r="A382" s="43" t="s">
        <v>172</v>
      </c>
      <c r="B382" s="36" t="s">
        <v>113</v>
      </c>
      <c r="C382" s="45" t="s">
        <v>219</v>
      </c>
      <c r="D382" s="35" t="s">
        <v>171</v>
      </c>
      <c r="E382" s="54">
        <f>7170.8-2000-1255+40</f>
        <v>3955.8</v>
      </c>
      <c r="F382" s="36"/>
      <c r="G382" s="54">
        <v>3955.8</v>
      </c>
      <c r="H382" s="36"/>
      <c r="I382" s="120"/>
    </row>
    <row r="383" spans="1:9" s="1" customFormat="1" ht="29.25" customHeight="1">
      <c r="A383" s="43" t="s">
        <v>174</v>
      </c>
      <c r="B383" s="36" t="s">
        <v>113</v>
      </c>
      <c r="C383" s="45" t="s">
        <v>219</v>
      </c>
      <c r="D383" s="35" t="s">
        <v>173</v>
      </c>
      <c r="E383" s="54">
        <f>E384</f>
        <v>178</v>
      </c>
      <c r="F383" s="36"/>
      <c r="G383" s="54">
        <f>G384</f>
        <v>178</v>
      </c>
      <c r="H383" s="36"/>
      <c r="I383" s="120"/>
    </row>
    <row r="384" spans="1:9" s="1" customFormat="1" ht="29.25" customHeight="1">
      <c r="A384" s="55" t="s">
        <v>324</v>
      </c>
      <c r="B384" s="36" t="s">
        <v>113</v>
      </c>
      <c r="C384" s="44" t="s">
        <v>219</v>
      </c>
      <c r="D384" s="34" t="s">
        <v>323</v>
      </c>
      <c r="E384" s="37">
        <f>218-40</f>
        <v>178</v>
      </c>
      <c r="F384" s="36"/>
      <c r="G384" s="37">
        <v>178</v>
      </c>
      <c r="H384" s="36"/>
      <c r="I384" s="120"/>
    </row>
    <row r="385" spans="1:9" s="1" customFormat="1" ht="34.5" customHeight="1">
      <c r="A385" s="33" t="s">
        <v>484</v>
      </c>
      <c r="B385" s="36" t="s">
        <v>113</v>
      </c>
      <c r="C385" s="45" t="s">
        <v>200</v>
      </c>
      <c r="D385" s="35"/>
      <c r="E385" s="37">
        <f>E386</f>
        <v>1450</v>
      </c>
      <c r="F385" s="36"/>
      <c r="G385" s="37">
        <f>G386</f>
        <v>1445.2</v>
      </c>
      <c r="H385" s="36"/>
      <c r="I385" s="120"/>
    </row>
    <row r="386" spans="1:9" s="1" customFormat="1" ht="45.75" customHeight="1">
      <c r="A386" s="33" t="s">
        <v>485</v>
      </c>
      <c r="B386" s="36" t="s">
        <v>113</v>
      </c>
      <c r="C386" s="45" t="s">
        <v>201</v>
      </c>
      <c r="D386" s="35"/>
      <c r="E386" s="54">
        <f>E387</f>
        <v>1450</v>
      </c>
      <c r="F386" s="36"/>
      <c r="G386" s="54">
        <f>G387</f>
        <v>1445.2</v>
      </c>
      <c r="H386" s="36"/>
      <c r="I386" s="120"/>
    </row>
    <row r="387" spans="1:9" s="1" customFormat="1" ht="26.25" customHeight="1">
      <c r="A387" s="43" t="s">
        <v>170</v>
      </c>
      <c r="B387" s="36" t="s">
        <v>113</v>
      </c>
      <c r="C387" s="45" t="s">
        <v>201</v>
      </c>
      <c r="D387" s="35" t="s">
        <v>169</v>
      </c>
      <c r="E387" s="54">
        <f>E388</f>
        <v>1450</v>
      </c>
      <c r="F387" s="36"/>
      <c r="G387" s="54">
        <f>G388</f>
        <v>1445.2</v>
      </c>
      <c r="H387" s="36"/>
      <c r="I387" s="120"/>
    </row>
    <row r="388" spans="1:9" s="1" customFormat="1" ht="33.75" customHeight="1">
      <c r="A388" s="43" t="s">
        <v>172</v>
      </c>
      <c r="B388" s="36" t="s">
        <v>113</v>
      </c>
      <c r="C388" s="45" t="s">
        <v>201</v>
      </c>
      <c r="D388" s="35" t="s">
        <v>171</v>
      </c>
      <c r="E388" s="54">
        <f>1450</f>
        <v>1450</v>
      </c>
      <c r="F388" s="36"/>
      <c r="G388" s="54">
        <v>1445.2</v>
      </c>
      <c r="H388" s="36"/>
      <c r="I388" s="120"/>
    </row>
    <row r="389" spans="1:9" s="1" customFormat="1" ht="34.5" customHeight="1">
      <c r="A389" s="33" t="s">
        <v>43</v>
      </c>
      <c r="B389" s="36" t="s">
        <v>113</v>
      </c>
      <c r="C389" s="45" t="s">
        <v>216</v>
      </c>
      <c r="D389" s="35"/>
      <c r="E389" s="54">
        <f>E390</f>
        <v>1180</v>
      </c>
      <c r="F389" s="36"/>
      <c r="G389" s="54">
        <f>G390</f>
        <v>1178.4</v>
      </c>
      <c r="H389" s="36"/>
      <c r="I389" s="120"/>
    </row>
    <row r="390" spans="1:9" s="1" customFormat="1" ht="34.5" customHeight="1">
      <c r="A390" s="33" t="s">
        <v>486</v>
      </c>
      <c r="B390" s="36" t="s">
        <v>113</v>
      </c>
      <c r="C390" s="45" t="s">
        <v>217</v>
      </c>
      <c r="D390" s="35"/>
      <c r="E390" s="54">
        <f>E391</f>
        <v>1180</v>
      </c>
      <c r="F390" s="36"/>
      <c r="G390" s="54">
        <f>G391</f>
        <v>1178.4</v>
      </c>
      <c r="H390" s="36"/>
      <c r="I390" s="120"/>
    </row>
    <row r="391" spans="1:9" s="1" customFormat="1" ht="20.25" customHeight="1">
      <c r="A391" s="43" t="s">
        <v>170</v>
      </c>
      <c r="B391" s="36" t="s">
        <v>113</v>
      </c>
      <c r="C391" s="45" t="s">
        <v>217</v>
      </c>
      <c r="D391" s="35" t="s">
        <v>169</v>
      </c>
      <c r="E391" s="54">
        <f>E392</f>
        <v>1180</v>
      </c>
      <c r="F391" s="36"/>
      <c r="G391" s="54">
        <f>G392</f>
        <v>1178.4</v>
      </c>
      <c r="H391" s="36"/>
      <c r="I391" s="120"/>
    </row>
    <row r="392" spans="1:9" s="1" customFormat="1" ht="33" customHeight="1">
      <c r="A392" s="43" t="s">
        <v>172</v>
      </c>
      <c r="B392" s="36" t="s">
        <v>113</v>
      </c>
      <c r="C392" s="45" t="s">
        <v>217</v>
      </c>
      <c r="D392" s="35" t="s">
        <v>171</v>
      </c>
      <c r="E392" s="54">
        <f>1180</f>
        <v>1180</v>
      </c>
      <c r="F392" s="36"/>
      <c r="G392" s="54">
        <v>1178.4</v>
      </c>
      <c r="H392" s="36"/>
      <c r="I392" s="120"/>
    </row>
    <row r="393" spans="1:9" s="1" customFormat="1" ht="33" customHeight="1">
      <c r="A393" s="104" t="s">
        <v>477</v>
      </c>
      <c r="B393" s="105" t="s">
        <v>478</v>
      </c>
      <c r="C393" s="106"/>
      <c r="D393" s="107"/>
      <c r="E393" s="108">
        <f>E394+E398</f>
        <v>13720</v>
      </c>
      <c r="F393" s="108">
        <f>F398</f>
        <v>0</v>
      </c>
      <c r="G393" s="108">
        <f>G394+G398</f>
        <v>12659.300000000001</v>
      </c>
      <c r="H393" s="108">
        <f>H398</f>
        <v>0</v>
      </c>
      <c r="I393" s="16">
        <f>G393/E393*100</f>
        <v>92.26895043731778</v>
      </c>
    </row>
    <row r="394" spans="1:9" s="1" customFormat="1" ht="33" customHeight="1">
      <c r="A394" s="57" t="s">
        <v>215</v>
      </c>
      <c r="B394" s="36" t="s">
        <v>478</v>
      </c>
      <c r="C394" s="44" t="s">
        <v>406</v>
      </c>
      <c r="D394" s="34"/>
      <c r="E394" s="37">
        <f>E395</f>
        <v>12920</v>
      </c>
      <c r="F394" s="36"/>
      <c r="G394" s="37">
        <f>G395</f>
        <v>11891.1</v>
      </c>
      <c r="H394" s="36"/>
      <c r="I394" s="120"/>
    </row>
    <row r="395" spans="1:9" s="1" customFormat="1" ht="33" customHeight="1">
      <c r="A395" s="57" t="s">
        <v>487</v>
      </c>
      <c r="B395" s="36" t="s">
        <v>478</v>
      </c>
      <c r="C395" s="44" t="s">
        <v>198</v>
      </c>
      <c r="D395" s="35"/>
      <c r="E395" s="54">
        <f>E396</f>
        <v>12920</v>
      </c>
      <c r="F395" s="36"/>
      <c r="G395" s="54">
        <f>G396</f>
        <v>11891.1</v>
      </c>
      <c r="H395" s="36"/>
      <c r="I395" s="120"/>
    </row>
    <row r="396" spans="1:9" s="1" customFormat="1" ht="21.75" customHeight="1">
      <c r="A396" s="43" t="s">
        <v>170</v>
      </c>
      <c r="B396" s="36" t="s">
        <v>478</v>
      </c>
      <c r="C396" s="44" t="s">
        <v>198</v>
      </c>
      <c r="D396" s="35" t="s">
        <v>169</v>
      </c>
      <c r="E396" s="54">
        <f>E397</f>
        <v>12920</v>
      </c>
      <c r="F396" s="36"/>
      <c r="G396" s="54">
        <f>G397</f>
        <v>11891.1</v>
      </c>
      <c r="H396" s="36"/>
      <c r="I396" s="120"/>
    </row>
    <row r="397" spans="1:9" s="1" customFormat="1" ht="33" customHeight="1">
      <c r="A397" s="43" t="s">
        <v>172</v>
      </c>
      <c r="B397" s="36" t="s">
        <v>478</v>
      </c>
      <c r="C397" s="44" t="s">
        <v>198</v>
      </c>
      <c r="D397" s="35" t="s">
        <v>171</v>
      </c>
      <c r="E397" s="54">
        <f>12920</f>
        <v>12920</v>
      </c>
      <c r="F397" s="36"/>
      <c r="G397" s="54">
        <v>11891.1</v>
      </c>
      <c r="H397" s="36"/>
      <c r="I397" s="120"/>
    </row>
    <row r="398" spans="1:9" s="1" customFormat="1" ht="23.25" customHeight="1">
      <c r="A398" s="33" t="s">
        <v>189</v>
      </c>
      <c r="B398" s="36" t="s">
        <v>478</v>
      </c>
      <c r="C398" s="45" t="s">
        <v>408</v>
      </c>
      <c r="D398" s="35"/>
      <c r="E398" s="54">
        <f>E399</f>
        <v>800</v>
      </c>
      <c r="F398" s="54">
        <f>F400</f>
        <v>0</v>
      </c>
      <c r="G398" s="54">
        <f>G399</f>
        <v>768.2</v>
      </c>
      <c r="H398" s="54">
        <f>H400</f>
        <v>0</v>
      </c>
      <c r="I398" s="120"/>
    </row>
    <row r="399" spans="1:9" s="1" customFormat="1" ht="30" customHeight="1">
      <c r="A399" s="33" t="s">
        <v>488</v>
      </c>
      <c r="B399" s="36" t="s">
        <v>478</v>
      </c>
      <c r="C399" s="45" t="s">
        <v>227</v>
      </c>
      <c r="D399" s="35"/>
      <c r="E399" s="54">
        <f>E400</f>
        <v>800</v>
      </c>
      <c r="F399" s="54"/>
      <c r="G399" s="54">
        <f>G400</f>
        <v>768.2</v>
      </c>
      <c r="H399" s="54"/>
      <c r="I399" s="120"/>
    </row>
    <row r="400" spans="1:9" s="1" customFormat="1" ht="21.75" customHeight="1">
      <c r="A400" s="43" t="s">
        <v>170</v>
      </c>
      <c r="B400" s="36" t="s">
        <v>478</v>
      </c>
      <c r="C400" s="45" t="s">
        <v>227</v>
      </c>
      <c r="D400" s="35" t="s">
        <v>169</v>
      </c>
      <c r="E400" s="54">
        <f>E401</f>
        <v>800</v>
      </c>
      <c r="F400" s="36"/>
      <c r="G400" s="54">
        <f>G401</f>
        <v>768.2</v>
      </c>
      <c r="H400" s="36"/>
      <c r="I400" s="120"/>
    </row>
    <row r="401" spans="1:9" s="1" customFormat="1" ht="30" customHeight="1">
      <c r="A401" s="43" t="s">
        <v>172</v>
      </c>
      <c r="B401" s="36" t="s">
        <v>478</v>
      </c>
      <c r="C401" s="45" t="s">
        <v>227</v>
      </c>
      <c r="D401" s="35" t="s">
        <v>171</v>
      </c>
      <c r="E401" s="54">
        <f>800</f>
        <v>800</v>
      </c>
      <c r="F401" s="36"/>
      <c r="G401" s="54">
        <v>768.2</v>
      </c>
      <c r="H401" s="36"/>
      <c r="I401" s="120"/>
    </row>
    <row r="402" spans="1:9" s="5" customFormat="1" ht="18" customHeight="1">
      <c r="A402" s="21" t="s">
        <v>114</v>
      </c>
      <c r="B402" s="17" t="s">
        <v>115</v>
      </c>
      <c r="C402" s="17"/>
      <c r="D402" s="17"/>
      <c r="E402" s="18">
        <f>E410+E515+E424+E403+E474</f>
        <v>601431.4000000001</v>
      </c>
      <c r="F402" s="18">
        <f>F410+F515+F424+F403+F474</f>
        <v>194114.2</v>
      </c>
      <c r="G402" s="18">
        <f>G410+G515+G424+G403+G474</f>
        <v>578566.9999999999</v>
      </c>
      <c r="H402" s="18">
        <f>H410+H515+H424+H403+H474</f>
        <v>180099.1</v>
      </c>
      <c r="I402" s="16">
        <f>G402/E402*100</f>
        <v>96.19833616934528</v>
      </c>
    </row>
    <row r="403" spans="1:9" s="5" customFormat="1" ht="18" customHeight="1">
      <c r="A403" s="56" t="s">
        <v>501</v>
      </c>
      <c r="B403" s="60" t="s">
        <v>500</v>
      </c>
      <c r="C403" s="17"/>
      <c r="D403" s="17"/>
      <c r="E403" s="18">
        <f aca="true" t="shared" si="9" ref="E403:H404">E404</f>
        <v>8778</v>
      </c>
      <c r="F403" s="18">
        <f t="shared" si="9"/>
        <v>8778</v>
      </c>
      <c r="G403" s="18">
        <f t="shared" si="9"/>
        <v>6263.9</v>
      </c>
      <c r="H403" s="18">
        <f t="shared" si="9"/>
        <v>6263.9</v>
      </c>
      <c r="I403" s="16">
        <f>G403/E403*100</f>
        <v>71.35907951697425</v>
      </c>
    </row>
    <row r="404" spans="1:9" s="5" customFormat="1" ht="78" customHeight="1">
      <c r="A404" s="33" t="s">
        <v>261</v>
      </c>
      <c r="B404" s="44" t="s">
        <v>500</v>
      </c>
      <c r="C404" s="45" t="s">
        <v>36</v>
      </c>
      <c r="D404" s="45"/>
      <c r="E404" s="50">
        <f t="shared" si="9"/>
        <v>8778</v>
      </c>
      <c r="F404" s="50">
        <f t="shared" si="9"/>
        <v>8778</v>
      </c>
      <c r="G404" s="50">
        <f t="shared" si="9"/>
        <v>6263.9</v>
      </c>
      <c r="H404" s="50">
        <f t="shared" si="9"/>
        <v>6263.9</v>
      </c>
      <c r="I404" s="119"/>
    </row>
    <row r="405" spans="1:9" s="5" customFormat="1" ht="63.75" customHeight="1">
      <c r="A405" s="43" t="s">
        <v>246</v>
      </c>
      <c r="B405" s="44" t="s">
        <v>500</v>
      </c>
      <c r="C405" s="45" t="s">
        <v>434</v>
      </c>
      <c r="D405" s="45"/>
      <c r="E405" s="50">
        <f>E408+E406</f>
        <v>8778</v>
      </c>
      <c r="F405" s="50">
        <f>F408+F406</f>
        <v>8778</v>
      </c>
      <c r="G405" s="50">
        <f>G408+G406</f>
        <v>6263.9</v>
      </c>
      <c r="H405" s="50">
        <f>H408+H406</f>
        <v>6263.9</v>
      </c>
      <c r="I405" s="119"/>
    </row>
    <row r="406" spans="1:9" s="5" customFormat="1" ht="62.25" customHeight="1">
      <c r="A406" s="43" t="s">
        <v>320</v>
      </c>
      <c r="B406" s="44" t="s">
        <v>500</v>
      </c>
      <c r="C406" s="45" t="s">
        <v>434</v>
      </c>
      <c r="D406" s="45" t="s">
        <v>175</v>
      </c>
      <c r="E406" s="50">
        <f>E407</f>
        <v>1108</v>
      </c>
      <c r="F406" s="50">
        <f>F407</f>
        <v>1108</v>
      </c>
      <c r="G406" s="50">
        <f>G407</f>
        <v>1003</v>
      </c>
      <c r="H406" s="50">
        <f>H407</f>
        <v>1003</v>
      </c>
      <c r="I406" s="119"/>
    </row>
    <row r="407" spans="1:9" s="5" customFormat="1" ht="18" customHeight="1">
      <c r="A407" s="43" t="s">
        <v>168</v>
      </c>
      <c r="B407" s="44" t="s">
        <v>500</v>
      </c>
      <c r="C407" s="45" t="s">
        <v>434</v>
      </c>
      <c r="D407" s="45" t="s">
        <v>167</v>
      </c>
      <c r="E407" s="50">
        <f>1007+101</f>
        <v>1108</v>
      </c>
      <c r="F407" s="50">
        <f>E407</f>
        <v>1108</v>
      </c>
      <c r="G407" s="50">
        <v>1003</v>
      </c>
      <c r="H407" s="50">
        <f>G407</f>
        <v>1003</v>
      </c>
      <c r="I407" s="119"/>
    </row>
    <row r="408" spans="1:9" s="5" customFormat="1" ht="21.75" customHeight="1">
      <c r="A408" s="43" t="s">
        <v>170</v>
      </c>
      <c r="B408" s="44" t="s">
        <v>500</v>
      </c>
      <c r="C408" s="45" t="s">
        <v>434</v>
      </c>
      <c r="D408" s="45" t="s">
        <v>169</v>
      </c>
      <c r="E408" s="50">
        <f>E409</f>
        <v>7670</v>
      </c>
      <c r="F408" s="50">
        <f>F409</f>
        <v>7670</v>
      </c>
      <c r="G408" s="50">
        <f>G409</f>
        <v>5260.9</v>
      </c>
      <c r="H408" s="50">
        <f>H409</f>
        <v>5260.9</v>
      </c>
      <c r="I408" s="119"/>
    </row>
    <row r="409" spans="1:9" s="5" customFormat="1" ht="33" customHeight="1">
      <c r="A409" s="55" t="s">
        <v>172</v>
      </c>
      <c r="B409" s="44" t="s">
        <v>500</v>
      </c>
      <c r="C409" s="45" t="s">
        <v>434</v>
      </c>
      <c r="D409" s="44" t="s">
        <v>171</v>
      </c>
      <c r="E409" s="47">
        <f>4058+3612</f>
        <v>7670</v>
      </c>
      <c r="F409" s="47">
        <f>E409</f>
        <v>7670</v>
      </c>
      <c r="G409" s="47">
        <v>5260.9</v>
      </c>
      <c r="H409" s="47">
        <f>G409</f>
        <v>5260.9</v>
      </c>
      <c r="I409" s="119"/>
    </row>
    <row r="410" spans="1:9" s="1" customFormat="1" ht="17.25" customHeight="1">
      <c r="A410" s="56" t="s">
        <v>141</v>
      </c>
      <c r="B410" s="60" t="s">
        <v>142</v>
      </c>
      <c r="C410" s="60"/>
      <c r="D410" s="60"/>
      <c r="E410" s="11">
        <f aca="true" t="shared" si="10" ref="E410:H411">E411</f>
        <v>16793.9</v>
      </c>
      <c r="F410" s="11">
        <f t="shared" si="10"/>
        <v>0</v>
      </c>
      <c r="G410" s="11">
        <f t="shared" si="10"/>
        <v>16789.7</v>
      </c>
      <c r="H410" s="11">
        <f t="shared" si="10"/>
        <v>0</v>
      </c>
      <c r="I410" s="16">
        <f>G410/E410*100</f>
        <v>99.9749909193219</v>
      </c>
    </row>
    <row r="411" spans="1:9" s="1" customFormat="1" ht="52.5" customHeight="1">
      <c r="A411" s="55" t="s">
        <v>260</v>
      </c>
      <c r="B411" s="36" t="s">
        <v>142</v>
      </c>
      <c r="C411" s="36" t="s">
        <v>337</v>
      </c>
      <c r="D411" s="36"/>
      <c r="E411" s="37">
        <f t="shared" si="10"/>
        <v>16793.9</v>
      </c>
      <c r="F411" s="37">
        <f t="shared" si="10"/>
        <v>0</v>
      </c>
      <c r="G411" s="37">
        <f t="shared" si="10"/>
        <v>16789.7</v>
      </c>
      <c r="H411" s="37">
        <f t="shared" si="10"/>
        <v>0</v>
      </c>
      <c r="I411" s="120"/>
    </row>
    <row r="412" spans="1:9" s="1" customFormat="1" ht="46.5" customHeight="1">
      <c r="A412" s="55" t="s">
        <v>306</v>
      </c>
      <c r="B412" s="36" t="s">
        <v>142</v>
      </c>
      <c r="C412" s="36" t="s">
        <v>307</v>
      </c>
      <c r="D412" s="36"/>
      <c r="E412" s="37">
        <f>E416+E419+E413</f>
        <v>16793.9</v>
      </c>
      <c r="F412" s="37">
        <f>F416+F419+F413</f>
        <v>0</v>
      </c>
      <c r="G412" s="37">
        <f>G416+G419+G413</f>
        <v>16789.7</v>
      </c>
      <c r="H412" s="37">
        <f>H416+H419+H413</f>
        <v>0</v>
      </c>
      <c r="I412" s="120"/>
    </row>
    <row r="413" spans="1:9" s="1" customFormat="1" ht="51.75" customHeight="1">
      <c r="A413" s="48" t="s">
        <v>511</v>
      </c>
      <c r="B413" s="36" t="s">
        <v>142</v>
      </c>
      <c r="C413" s="36" t="s">
        <v>677</v>
      </c>
      <c r="D413" s="36"/>
      <c r="E413" s="37">
        <f aca="true" t="shared" si="11" ref="E413:H414">E414</f>
        <v>0</v>
      </c>
      <c r="F413" s="37">
        <f t="shared" si="11"/>
        <v>0</v>
      </c>
      <c r="G413" s="37">
        <f t="shared" si="11"/>
        <v>0</v>
      </c>
      <c r="H413" s="37">
        <f t="shared" si="11"/>
        <v>0</v>
      </c>
      <c r="I413" s="120"/>
    </row>
    <row r="414" spans="1:9" s="1" customFormat="1" ht="21" customHeight="1">
      <c r="A414" s="43" t="s">
        <v>170</v>
      </c>
      <c r="B414" s="8" t="s">
        <v>142</v>
      </c>
      <c r="C414" s="36" t="s">
        <v>677</v>
      </c>
      <c r="D414" s="8" t="s">
        <v>169</v>
      </c>
      <c r="E414" s="54">
        <f t="shared" si="11"/>
        <v>0</v>
      </c>
      <c r="F414" s="54">
        <f t="shared" si="11"/>
        <v>0</v>
      </c>
      <c r="G414" s="54">
        <f t="shared" si="11"/>
        <v>0</v>
      </c>
      <c r="H414" s="54">
        <f t="shared" si="11"/>
        <v>0</v>
      </c>
      <c r="I414" s="120"/>
    </row>
    <row r="415" spans="1:9" s="1" customFormat="1" ht="31.5" customHeight="1">
      <c r="A415" s="55" t="s">
        <v>172</v>
      </c>
      <c r="B415" s="36" t="s">
        <v>142</v>
      </c>
      <c r="C415" s="36" t="s">
        <v>677</v>
      </c>
      <c r="D415" s="36" t="s">
        <v>171</v>
      </c>
      <c r="E415" s="37">
        <v>0</v>
      </c>
      <c r="F415" s="37">
        <v>0</v>
      </c>
      <c r="G415" s="37">
        <v>0</v>
      </c>
      <c r="H415" s="37">
        <v>0</v>
      </c>
      <c r="I415" s="120"/>
    </row>
    <row r="416" spans="1:9" s="1" customFormat="1" ht="63" customHeight="1">
      <c r="A416" s="48" t="s">
        <v>153</v>
      </c>
      <c r="B416" s="36" t="s">
        <v>142</v>
      </c>
      <c r="C416" s="36" t="s">
        <v>308</v>
      </c>
      <c r="D416" s="36"/>
      <c r="E416" s="37">
        <f>E417</f>
        <v>1010</v>
      </c>
      <c r="F416" s="37"/>
      <c r="G416" s="37">
        <f>G417</f>
        <v>1005.8</v>
      </c>
      <c r="H416" s="37"/>
      <c r="I416" s="120"/>
    </row>
    <row r="417" spans="1:9" s="1" customFormat="1" ht="18.75" customHeight="1">
      <c r="A417" s="43" t="s">
        <v>170</v>
      </c>
      <c r="B417" s="8" t="s">
        <v>142</v>
      </c>
      <c r="C417" s="36" t="s">
        <v>308</v>
      </c>
      <c r="D417" s="8" t="s">
        <v>169</v>
      </c>
      <c r="E417" s="54">
        <f>E418</f>
        <v>1010</v>
      </c>
      <c r="F417" s="54"/>
      <c r="G417" s="54">
        <f>G418</f>
        <v>1005.8</v>
      </c>
      <c r="H417" s="54"/>
      <c r="I417" s="120"/>
    </row>
    <row r="418" spans="1:9" s="1" customFormat="1" ht="31.5" customHeight="1">
      <c r="A418" s="55" t="s">
        <v>172</v>
      </c>
      <c r="B418" s="36" t="s">
        <v>142</v>
      </c>
      <c r="C418" s="36" t="s">
        <v>308</v>
      </c>
      <c r="D418" s="36" t="s">
        <v>171</v>
      </c>
      <c r="E418" s="37">
        <f>1010</f>
        <v>1010</v>
      </c>
      <c r="F418" s="37"/>
      <c r="G418" s="37">
        <v>1005.8</v>
      </c>
      <c r="H418" s="37"/>
      <c r="I418" s="120"/>
    </row>
    <row r="419" spans="1:9" s="1" customFormat="1" ht="21.75" customHeight="1">
      <c r="A419" s="43" t="s">
        <v>211</v>
      </c>
      <c r="B419" s="8" t="s">
        <v>142</v>
      </c>
      <c r="C419" s="36" t="s">
        <v>309</v>
      </c>
      <c r="D419" s="8"/>
      <c r="E419" s="54">
        <f>E420+E422</f>
        <v>15783.9</v>
      </c>
      <c r="F419" s="54"/>
      <c r="G419" s="54">
        <f>G420+G422</f>
        <v>15783.9</v>
      </c>
      <c r="H419" s="54"/>
      <c r="I419" s="120"/>
    </row>
    <row r="420" spans="1:9" s="1" customFormat="1" ht="20.25" customHeight="1">
      <c r="A420" s="43" t="s">
        <v>170</v>
      </c>
      <c r="B420" s="8" t="s">
        <v>142</v>
      </c>
      <c r="C420" s="36" t="s">
        <v>309</v>
      </c>
      <c r="D420" s="8" t="s">
        <v>169</v>
      </c>
      <c r="E420" s="54">
        <f>E421</f>
        <v>15211.6</v>
      </c>
      <c r="F420" s="54"/>
      <c r="G420" s="54">
        <f>G421</f>
        <v>15211.6</v>
      </c>
      <c r="H420" s="54"/>
      <c r="I420" s="120"/>
    </row>
    <row r="421" spans="1:9" s="1" customFormat="1" ht="31.5" customHeight="1">
      <c r="A421" s="55" t="s">
        <v>172</v>
      </c>
      <c r="B421" s="8" t="s">
        <v>142</v>
      </c>
      <c r="C421" s="36" t="s">
        <v>309</v>
      </c>
      <c r="D421" s="8" t="s">
        <v>171</v>
      </c>
      <c r="E421" s="54">
        <f>15211.6</f>
        <v>15211.6</v>
      </c>
      <c r="F421" s="54"/>
      <c r="G421" s="54">
        <v>15211.6</v>
      </c>
      <c r="H421" s="54"/>
      <c r="I421" s="120"/>
    </row>
    <row r="422" spans="1:9" s="1" customFormat="1" ht="19.5" customHeight="1">
      <c r="A422" s="43" t="s">
        <v>174</v>
      </c>
      <c r="B422" s="8" t="s">
        <v>142</v>
      </c>
      <c r="C422" s="36" t="s">
        <v>309</v>
      </c>
      <c r="D422" s="8" t="s">
        <v>173</v>
      </c>
      <c r="E422" s="54">
        <f>E423</f>
        <v>572.3</v>
      </c>
      <c r="F422" s="54"/>
      <c r="G422" s="54">
        <f>G423</f>
        <v>572.3</v>
      </c>
      <c r="H422" s="54"/>
      <c r="I422" s="120"/>
    </row>
    <row r="423" spans="1:9" s="1" customFormat="1" ht="20.25" customHeight="1">
      <c r="A423" s="43" t="s">
        <v>333</v>
      </c>
      <c r="B423" s="8" t="s">
        <v>142</v>
      </c>
      <c r="C423" s="36" t="s">
        <v>309</v>
      </c>
      <c r="D423" s="8" t="s">
        <v>332</v>
      </c>
      <c r="E423" s="54">
        <f>572.3</f>
        <v>572.3</v>
      </c>
      <c r="F423" s="54"/>
      <c r="G423" s="54">
        <v>572.3</v>
      </c>
      <c r="H423" s="54"/>
      <c r="I423" s="120"/>
    </row>
    <row r="424" spans="1:9" s="1" customFormat="1" ht="18.75" customHeight="1">
      <c r="A424" s="58" t="s">
        <v>13</v>
      </c>
      <c r="B424" s="59" t="s">
        <v>12</v>
      </c>
      <c r="C424" s="59"/>
      <c r="D424" s="59"/>
      <c r="E424" s="10">
        <f>E425+E463</f>
        <v>455654.30000000005</v>
      </c>
      <c r="F424" s="10">
        <f>F425</f>
        <v>155204</v>
      </c>
      <c r="G424" s="10">
        <f>G425+G463</f>
        <v>437124.69999999995</v>
      </c>
      <c r="H424" s="10">
        <f>H425</f>
        <v>144388.6</v>
      </c>
      <c r="I424" s="16">
        <f>G424/E424*100</f>
        <v>95.93340828781818</v>
      </c>
    </row>
    <row r="425" spans="1:9" s="1" customFormat="1" ht="53.25" customHeight="1">
      <c r="A425" s="55" t="s">
        <v>260</v>
      </c>
      <c r="B425" s="8" t="s">
        <v>12</v>
      </c>
      <c r="C425" s="8" t="s">
        <v>337</v>
      </c>
      <c r="D425" s="8"/>
      <c r="E425" s="54">
        <f>E426</f>
        <v>401865.4</v>
      </c>
      <c r="F425" s="54">
        <f>F426</f>
        <v>155204</v>
      </c>
      <c r="G425" s="54">
        <f>G426</f>
        <v>383341.79999999993</v>
      </c>
      <c r="H425" s="54">
        <f>H426</f>
        <v>144388.6</v>
      </c>
      <c r="I425" s="120"/>
    </row>
    <row r="426" spans="1:9" s="1" customFormat="1" ht="48" customHeight="1">
      <c r="A426" s="55" t="s">
        <v>459</v>
      </c>
      <c r="B426" s="8" t="s">
        <v>12</v>
      </c>
      <c r="C426" s="8" t="s">
        <v>310</v>
      </c>
      <c r="D426" s="8"/>
      <c r="E426" s="54">
        <f>E427+E436+E442+E445+E448+E460+E430+E451+E454+E457+E433+E439</f>
        <v>401865.4</v>
      </c>
      <c r="F426" s="54">
        <f>F427+F436+F442+F445+F448+F460+F430+F451+F454+F457+F433+F439</f>
        <v>155204</v>
      </c>
      <c r="G426" s="54">
        <f>G427+G436+G442+G445+G448+G460+G430+G451+G454+G457+G433+G439</f>
        <v>383341.79999999993</v>
      </c>
      <c r="H426" s="54">
        <f>H427+H436+H442+H445+H448+H460+H430+H451+H454+H457+H433+H439</f>
        <v>144388.6</v>
      </c>
      <c r="I426" s="120"/>
    </row>
    <row r="427" spans="1:9" s="1" customFormat="1" ht="33.75" customHeight="1">
      <c r="A427" s="38" t="s">
        <v>256</v>
      </c>
      <c r="B427" s="8" t="s">
        <v>12</v>
      </c>
      <c r="C427" s="36" t="s">
        <v>311</v>
      </c>
      <c r="D427" s="45"/>
      <c r="E427" s="50">
        <f>E428</f>
        <v>61394.899999999994</v>
      </c>
      <c r="F427" s="54"/>
      <c r="G427" s="50">
        <f>G428</f>
        <v>61394.9</v>
      </c>
      <c r="H427" s="54"/>
      <c r="I427" s="120"/>
    </row>
    <row r="428" spans="1:9" s="1" customFormat="1" ht="33" customHeight="1">
      <c r="A428" s="33" t="s">
        <v>328</v>
      </c>
      <c r="B428" s="8" t="s">
        <v>12</v>
      </c>
      <c r="C428" s="36" t="s">
        <v>311</v>
      </c>
      <c r="D428" s="45" t="s">
        <v>327</v>
      </c>
      <c r="E428" s="50">
        <f>E429</f>
        <v>61394.899999999994</v>
      </c>
      <c r="F428" s="54"/>
      <c r="G428" s="50">
        <f>G429</f>
        <v>61394.9</v>
      </c>
      <c r="H428" s="54"/>
      <c r="I428" s="120"/>
    </row>
    <row r="429" spans="1:9" s="1" customFormat="1" ht="24" customHeight="1">
      <c r="A429" s="39" t="s">
        <v>326</v>
      </c>
      <c r="B429" s="8" t="s">
        <v>12</v>
      </c>
      <c r="C429" s="36" t="s">
        <v>311</v>
      </c>
      <c r="D429" s="44" t="s">
        <v>325</v>
      </c>
      <c r="E429" s="47">
        <f>50577.6+4300+1702.6+3780+275+759.7</f>
        <v>61394.899999999994</v>
      </c>
      <c r="F429" s="37"/>
      <c r="G429" s="47">
        <v>61394.9</v>
      </c>
      <c r="H429" s="37"/>
      <c r="I429" s="120"/>
    </row>
    <row r="430" spans="1:9" s="1" customFormat="1" ht="45" customHeight="1">
      <c r="A430" s="39" t="s">
        <v>573</v>
      </c>
      <c r="B430" s="8" t="s">
        <v>12</v>
      </c>
      <c r="C430" s="36" t="s">
        <v>312</v>
      </c>
      <c r="D430" s="44"/>
      <c r="E430" s="50">
        <f aca="true" t="shared" si="12" ref="E430:H431">E431</f>
        <v>23349</v>
      </c>
      <c r="F430" s="50">
        <f t="shared" si="12"/>
        <v>23349</v>
      </c>
      <c r="G430" s="50">
        <f t="shared" si="12"/>
        <v>23348.1</v>
      </c>
      <c r="H430" s="50">
        <f t="shared" si="12"/>
        <v>23348.1</v>
      </c>
      <c r="I430" s="120"/>
    </row>
    <row r="431" spans="1:9" s="1" customFormat="1" ht="29.25" customHeight="1">
      <c r="A431" s="33" t="s">
        <v>328</v>
      </c>
      <c r="B431" s="8" t="s">
        <v>12</v>
      </c>
      <c r="C431" s="36" t="s">
        <v>312</v>
      </c>
      <c r="D431" s="45" t="s">
        <v>327</v>
      </c>
      <c r="E431" s="50">
        <f t="shared" si="12"/>
        <v>23349</v>
      </c>
      <c r="F431" s="50">
        <f t="shared" si="12"/>
        <v>23349</v>
      </c>
      <c r="G431" s="50">
        <f t="shared" si="12"/>
        <v>23348.1</v>
      </c>
      <c r="H431" s="50">
        <f t="shared" si="12"/>
        <v>23348.1</v>
      </c>
      <c r="I431" s="120"/>
    </row>
    <row r="432" spans="1:9" s="1" customFormat="1" ht="24" customHeight="1">
      <c r="A432" s="39" t="s">
        <v>326</v>
      </c>
      <c r="B432" s="8" t="s">
        <v>12</v>
      </c>
      <c r="C432" s="36" t="s">
        <v>312</v>
      </c>
      <c r="D432" s="44" t="s">
        <v>325</v>
      </c>
      <c r="E432" s="47">
        <f>23584-235</f>
        <v>23349</v>
      </c>
      <c r="F432" s="47">
        <f>E432</f>
        <v>23349</v>
      </c>
      <c r="G432" s="47">
        <v>23348.1</v>
      </c>
      <c r="H432" s="47">
        <f>G432</f>
        <v>23348.1</v>
      </c>
      <c r="I432" s="120"/>
    </row>
    <row r="433" spans="1:9" s="1" customFormat="1" ht="75" customHeight="1">
      <c r="A433" s="39" t="s">
        <v>661</v>
      </c>
      <c r="B433" s="8" t="s">
        <v>12</v>
      </c>
      <c r="C433" s="36" t="s">
        <v>666</v>
      </c>
      <c r="D433" s="44"/>
      <c r="E433" s="47">
        <f aca="true" t="shared" si="13" ref="E433:H434">E434</f>
        <v>131855</v>
      </c>
      <c r="F433" s="47">
        <f t="shared" si="13"/>
        <v>131855</v>
      </c>
      <c r="G433" s="47">
        <f t="shared" si="13"/>
        <v>121040.5</v>
      </c>
      <c r="H433" s="47">
        <f t="shared" si="13"/>
        <v>121040.5</v>
      </c>
      <c r="I433" s="120"/>
    </row>
    <row r="434" spans="1:9" s="1" customFormat="1" ht="27.75" customHeight="1">
      <c r="A434" s="33" t="s">
        <v>328</v>
      </c>
      <c r="B434" s="36" t="s">
        <v>12</v>
      </c>
      <c r="C434" s="36" t="s">
        <v>666</v>
      </c>
      <c r="D434" s="36" t="s">
        <v>327</v>
      </c>
      <c r="E434" s="37">
        <f t="shared" si="13"/>
        <v>131855</v>
      </c>
      <c r="F434" s="37">
        <f t="shared" si="13"/>
        <v>131855</v>
      </c>
      <c r="G434" s="37">
        <f t="shared" si="13"/>
        <v>121040.5</v>
      </c>
      <c r="H434" s="37">
        <f t="shared" si="13"/>
        <v>121040.5</v>
      </c>
      <c r="I434" s="120"/>
    </row>
    <row r="435" spans="1:9" s="1" customFormat="1" ht="20.25" customHeight="1">
      <c r="A435" s="39" t="s">
        <v>326</v>
      </c>
      <c r="B435" s="36" t="s">
        <v>12</v>
      </c>
      <c r="C435" s="36" t="s">
        <v>666</v>
      </c>
      <c r="D435" s="36" t="s">
        <v>325</v>
      </c>
      <c r="E435" s="37">
        <f>69621+62234</f>
        <v>131855</v>
      </c>
      <c r="F435" s="37">
        <f>E435</f>
        <v>131855</v>
      </c>
      <c r="G435" s="37">
        <v>121040.5</v>
      </c>
      <c r="H435" s="37">
        <f>G435</f>
        <v>121040.5</v>
      </c>
      <c r="I435" s="120"/>
    </row>
    <row r="436" spans="1:9" s="1" customFormat="1" ht="45.75" customHeight="1">
      <c r="A436" s="39" t="s">
        <v>574</v>
      </c>
      <c r="B436" s="36" t="s">
        <v>12</v>
      </c>
      <c r="C436" s="36" t="s">
        <v>312</v>
      </c>
      <c r="D436" s="36"/>
      <c r="E436" s="37">
        <f>E437</f>
        <v>9656</v>
      </c>
      <c r="F436" s="54"/>
      <c r="G436" s="37">
        <f>G437</f>
        <v>9656</v>
      </c>
      <c r="H436" s="54"/>
      <c r="I436" s="120"/>
    </row>
    <row r="437" spans="1:9" s="1" customFormat="1" ht="31.5" customHeight="1">
      <c r="A437" s="33" t="s">
        <v>328</v>
      </c>
      <c r="B437" s="36" t="s">
        <v>12</v>
      </c>
      <c r="C437" s="36" t="s">
        <v>312</v>
      </c>
      <c r="D437" s="36" t="s">
        <v>327</v>
      </c>
      <c r="E437" s="37">
        <f>E438</f>
        <v>9656</v>
      </c>
      <c r="F437" s="54"/>
      <c r="G437" s="37">
        <f>G438</f>
        <v>9656</v>
      </c>
      <c r="H437" s="54"/>
      <c r="I437" s="120"/>
    </row>
    <row r="438" spans="1:9" s="1" customFormat="1" ht="18.75" customHeight="1">
      <c r="A438" s="39" t="s">
        <v>326</v>
      </c>
      <c r="B438" s="36" t="s">
        <v>12</v>
      </c>
      <c r="C438" s="36" t="s">
        <v>312</v>
      </c>
      <c r="D438" s="36" t="s">
        <v>325</v>
      </c>
      <c r="E438" s="37">
        <f>10989-704-629</f>
        <v>9656</v>
      </c>
      <c r="F438" s="54"/>
      <c r="G438" s="37">
        <v>9656</v>
      </c>
      <c r="H438" s="54"/>
      <c r="I438" s="120"/>
    </row>
    <row r="439" spans="1:9" s="1" customFormat="1" ht="62.25" customHeight="1">
      <c r="A439" s="39" t="s">
        <v>667</v>
      </c>
      <c r="B439" s="8" t="s">
        <v>12</v>
      </c>
      <c r="C439" s="36" t="s">
        <v>666</v>
      </c>
      <c r="D439" s="44"/>
      <c r="E439" s="47">
        <f>E440</f>
        <v>1333</v>
      </c>
      <c r="F439" s="54"/>
      <c r="G439" s="47">
        <f>G440</f>
        <v>1232.6</v>
      </c>
      <c r="H439" s="54"/>
      <c r="I439" s="120"/>
    </row>
    <row r="440" spans="1:9" s="1" customFormat="1" ht="31.5" customHeight="1">
      <c r="A440" s="33" t="s">
        <v>328</v>
      </c>
      <c r="B440" s="36" t="s">
        <v>12</v>
      </c>
      <c r="C440" s="36" t="s">
        <v>666</v>
      </c>
      <c r="D440" s="36" t="s">
        <v>327</v>
      </c>
      <c r="E440" s="37">
        <f>E441</f>
        <v>1333</v>
      </c>
      <c r="F440" s="54"/>
      <c r="G440" s="37">
        <f>G441</f>
        <v>1232.6</v>
      </c>
      <c r="H440" s="54"/>
      <c r="I440" s="120"/>
    </row>
    <row r="441" spans="1:9" s="1" customFormat="1" ht="21" customHeight="1">
      <c r="A441" s="39" t="s">
        <v>326</v>
      </c>
      <c r="B441" s="36" t="s">
        <v>12</v>
      </c>
      <c r="C441" s="36" t="s">
        <v>666</v>
      </c>
      <c r="D441" s="36" t="s">
        <v>325</v>
      </c>
      <c r="E441" s="37">
        <f>704+629</f>
        <v>1333</v>
      </c>
      <c r="F441" s="54"/>
      <c r="G441" s="37">
        <v>1232.6</v>
      </c>
      <c r="H441" s="54"/>
      <c r="I441" s="120"/>
    </row>
    <row r="442" spans="1:9" s="1" customFormat="1" ht="91.5" customHeight="1">
      <c r="A442" s="40" t="s">
        <v>542</v>
      </c>
      <c r="B442" s="36" t="s">
        <v>12</v>
      </c>
      <c r="C442" s="8" t="s">
        <v>543</v>
      </c>
      <c r="D442" s="8"/>
      <c r="E442" s="37">
        <f>E443</f>
        <v>13696.6</v>
      </c>
      <c r="F442" s="54"/>
      <c r="G442" s="37">
        <f>G443</f>
        <v>13696.5</v>
      </c>
      <c r="H442" s="54"/>
      <c r="I442" s="120"/>
    </row>
    <row r="443" spans="1:9" s="1" customFormat="1" ht="28.5" customHeight="1">
      <c r="A443" s="33" t="s">
        <v>328</v>
      </c>
      <c r="B443" s="36" t="s">
        <v>12</v>
      </c>
      <c r="C443" s="8" t="s">
        <v>543</v>
      </c>
      <c r="D443" s="8" t="s">
        <v>327</v>
      </c>
      <c r="E443" s="37">
        <f>E444</f>
        <v>13696.6</v>
      </c>
      <c r="F443" s="54"/>
      <c r="G443" s="37">
        <f>G444</f>
        <v>13696.5</v>
      </c>
      <c r="H443" s="54"/>
      <c r="I443" s="120"/>
    </row>
    <row r="444" spans="1:9" s="1" customFormat="1" ht="24" customHeight="1">
      <c r="A444" s="39" t="s">
        <v>326</v>
      </c>
      <c r="B444" s="36" t="s">
        <v>12</v>
      </c>
      <c r="C444" s="8" t="s">
        <v>543</v>
      </c>
      <c r="D444" s="8" t="s">
        <v>325</v>
      </c>
      <c r="E444" s="37">
        <f>12340.3+7000-5516.3+816.1-943.5</f>
        <v>13696.6</v>
      </c>
      <c r="F444" s="54"/>
      <c r="G444" s="37">
        <v>13696.5</v>
      </c>
      <c r="H444" s="54"/>
      <c r="I444" s="120"/>
    </row>
    <row r="445" spans="1:9" s="1" customFormat="1" ht="59.25" customHeight="1">
      <c r="A445" s="39" t="s">
        <v>544</v>
      </c>
      <c r="B445" s="36" t="s">
        <v>12</v>
      </c>
      <c r="C445" s="36" t="s">
        <v>545</v>
      </c>
      <c r="D445" s="36"/>
      <c r="E445" s="37">
        <f>E446</f>
        <v>84845.7</v>
      </c>
      <c r="F445" s="54"/>
      <c r="G445" s="37">
        <f>G446</f>
        <v>84845.7</v>
      </c>
      <c r="H445" s="54"/>
      <c r="I445" s="120"/>
    </row>
    <row r="446" spans="1:9" s="1" customFormat="1" ht="27.75" customHeight="1">
      <c r="A446" s="57" t="s">
        <v>328</v>
      </c>
      <c r="B446" s="36" t="s">
        <v>12</v>
      </c>
      <c r="C446" s="36" t="s">
        <v>545</v>
      </c>
      <c r="D446" s="44" t="s">
        <v>327</v>
      </c>
      <c r="E446" s="47">
        <f>E447</f>
        <v>84845.7</v>
      </c>
      <c r="F446" s="54"/>
      <c r="G446" s="47">
        <f>G447</f>
        <v>84845.7</v>
      </c>
      <c r="H446" s="54"/>
      <c r="I446" s="120"/>
    </row>
    <row r="447" spans="1:9" s="1" customFormat="1" ht="24" customHeight="1">
      <c r="A447" s="55" t="s">
        <v>326</v>
      </c>
      <c r="B447" s="36" t="s">
        <v>12</v>
      </c>
      <c r="C447" s="36" t="s">
        <v>545</v>
      </c>
      <c r="D447" s="44" t="s">
        <v>325</v>
      </c>
      <c r="E447" s="47">
        <f>62868.9+14038.3+1877+2061.5+4000</f>
        <v>84845.7</v>
      </c>
      <c r="F447" s="54"/>
      <c r="G447" s="47">
        <v>84845.7</v>
      </c>
      <c r="H447" s="54"/>
      <c r="I447" s="120"/>
    </row>
    <row r="448" spans="1:9" s="1" customFormat="1" ht="108.75" customHeight="1">
      <c r="A448" s="55" t="s">
        <v>546</v>
      </c>
      <c r="B448" s="36" t="s">
        <v>12</v>
      </c>
      <c r="C448" s="36" t="s">
        <v>547</v>
      </c>
      <c r="D448" s="36"/>
      <c r="E448" s="37">
        <f>E449</f>
        <v>3394.1999999999994</v>
      </c>
      <c r="F448" s="54"/>
      <c r="G448" s="37">
        <f>G449</f>
        <v>3394.2</v>
      </c>
      <c r="H448" s="54"/>
      <c r="I448" s="120"/>
    </row>
    <row r="449" spans="1:9" s="1" customFormat="1" ht="30.75" customHeight="1">
      <c r="A449" s="57" t="s">
        <v>328</v>
      </c>
      <c r="B449" s="36" t="s">
        <v>12</v>
      </c>
      <c r="C449" s="36" t="s">
        <v>547</v>
      </c>
      <c r="D449" s="36" t="s">
        <v>327</v>
      </c>
      <c r="E449" s="37">
        <f>E450</f>
        <v>3394.1999999999994</v>
      </c>
      <c r="F449" s="54"/>
      <c r="G449" s="37">
        <f>G450</f>
        <v>3394.2</v>
      </c>
      <c r="H449" s="54"/>
      <c r="I449" s="120"/>
    </row>
    <row r="450" spans="1:9" s="1" customFormat="1" ht="24" customHeight="1">
      <c r="A450" s="55" t="s">
        <v>326</v>
      </c>
      <c r="B450" s="36" t="s">
        <v>12</v>
      </c>
      <c r="C450" s="36" t="s">
        <v>547</v>
      </c>
      <c r="D450" s="36" t="s">
        <v>325</v>
      </c>
      <c r="E450" s="37">
        <f>11553.3-7343-816.1</f>
        <v>3394.1999999999994</v>
      </c>
      <c r="F450" s="54"/>
      <c r="G450" s="37">
        <v>3394.2</v>
      </c>
      <c r="H450" s="54"/>
      <c r="I450" s="120"/>
    </row>
    <row r="451" spans="1:9" s="1" customFormat="1" ht="107.25" customHeight="1">
      <c r="A451" s="55" t="s">
        <v>631</v>
      </c>
      <c r="B451" s="36" t="s">
        <v>12</v>
      </c>
      <c r="C451" s="36" t="s">
        <v>547</v>
      </c>
      <c r="D451" s="8"/>
      <c r="E451" s="37">
        <f>E452</f>
        <v>34855</v>
      </c>
      <c r="F451" s="54"/>
      <c r="G451" s="37">
        <f>G452</f>
        <v>34854.7</v>
      </c>
      <c r="H451" s="54"/>
      <c r="I451" s="120"/>
    </row>
    <row r="452" spans="1:9" s="1" customFormat="1" ht="32.25" customHeight="1">
      <c r="A452" s="57" t="s">
        <v>328</v>
      </c>
      <c r="B452" s="36" t="s">
        <v>12</v>
      </c>
      <c r="C452" s="36" t="s">
        <v>547</v>
      </c>
      <c r="D452" s="8" t="s">
        <v>327</v>
      </c>
      <c r="E452" s="37">
        <f>E453</f>
        <v>34855</v>
      </c>
      <c r="F452" s="54"/>
      <c r="G452" s="37">
        <f>G453</f>
        <v>34854.7</v>
      </c>
      <c r="H452" s="54"/>
      <c r="I452" s="120"/>
    </row>
    <row r="453" spans="1:9" s="1" customFormat="1" ht="24" customHeight="1">
      <c r="A453" s="55" t="s">
        <v>326</v>
      </c>
      <c r="B453" s="36" t="s">
        <v>12</v>
      </c>
      <c r="C453" s="36" t="s">
        <v>547</v>
      </c>
      <c r="D453" s="8" t="s">
        <v>325</v>
      </c>
      <c r="E453" s="37">
        <f>35207-352</f>
        <v>34855</v>
      </c>
      <c r="F453" s="54"/>
      <c r="G453" s="37">
        <v>34854.7</v>
      </c>
      <c r="H453" s="54"/>
      <c r="I453" s="120"/>
    </row>
    <row r="454" spans="1:9" s="1" customFormat="1" ht="122.25" customHeight="1">
      <c r="A454" s="55" t="s">
        <v>635</v>
      </c>
      <c r="B454" s="36" t="s">
        <v>12</v>
      </c>
      <c r="C454" s="36" t="s">
        <v>634</v>
      </c>
      <c r="D454" s="36"/>
      <c r="E454" s="37">
        <f>E455</f>
        <v>225</v>
      </c>
      <c r="F454" s="54"/>
      <c r="G454" s="37">
        <f>G455</f>
        <v>170</v>
      </c>
      <c r="H454" s="54"/>
      <c r="I454" s="120"/>
    </row>
    <row r="455" spans="1:9" s="1" customFormat="1" ht="30.75" customHeight="1">
      <c r="A455" s="57" t="s">
        <v>328</v>
      </c>
      <c r="B455" s="36" t="s">
        <v>12</v>
      </c>
      <c r="C455" s="36" t="s">
        <v>634</v>
      </c>
      <c r="D455" s="36" t="s">
        <v>327</v>
      </c>
      <c r="E455" s="37">
        <f>E456</f>
        <v>225</v>
      </c>
      <c r="F455" s="54"/>
      <c r="G455" s="37">
        <f>G456</f>
        <v>170</v>
      </c>
      <c r="H455" s="54"/>
      <c r="I455" s="120"/>
    </row>
    <row r="456" spans="1:9" s="1" customFormat="1" ht="24" customHeight="1">
      <c r="A456" s="55" t="s">
        <v>326</v>
      </c>
      <c r="B456" s="36" t="s">
        <v>12</v>
      </c>
      <c r="C456" s="36" t="s">
        <v>634</v>
      </c>
      <c r="D456" s="36" t="s">
        <v>325</v>
      </c>
      <c r="E456" s="37">
        <f>343-118</f>
        <v>225</v>
      </c>
      <c r="F456" s="54"/>
      <c r="G456" s="37">
        <v>170</v>
      </c>
      <c r="H456" s="54"/>
      <c r="I456" s="120"/>
    </row>
    <row r="457" spans="1:9" s="1" customFormat="1" ht="135" customHeight="1">
      <c r="A457" s="55" t="s">
        <v>633</v>
      </c>
      <c r="B457" s="36" t="s">
        <v>12</v>
      </c>
      <c r="C457" s="36" t="s">
        <v>634</v>
      </c>
      <c r="D457" s="8"/>
      <c r="E457" s="37">
        <f>E458</f>
        <v>22261</v>
      </c>
      <c r="F457" s="54"/>
      <c r="G457" s="37">
        <f>G458</f>
        <v>16828.6</v>
      </c>
      <c r="H457" s="54"/>
      <c r="I457" s="120"/>
    </row>
    <row r="458" spans="1:9" s="1" customFormat="1" ht="29.25" customHeight="1">
      <c r="A458" s="57" t="s">
        <v>328</v>
      </c>
      <c r="B458" s="36" t="s">
        <v>12</v>
      </c>
      <c r="C458" s="36" t="s">
        <v>634</v>
      </c>
      <c r="D458" s="8" t="s">
        <v>327</v>
      </c>
      <c r="E458" s="37">
        <f>E459</f>
        <v>22261</v>
      </c>
      <c r="F458" s="54"/>
      <c r="G458" s="37">
        <f>G459</f>
        <v>16828.6</v>
      </c>
      <c r="H458" s="54"/>
      <c r="I458" s="120"/>
    </row>
    <row r="459" spans="1:9" s="1" customFormat="1" ht="24" customHeight="1">
      <c r="A459" s="55" t="s">
        <v>326</v>
      </c>
      <c r="B459" s="36" t="s">
        <v>12</v>
      </c>
      <c r="C459" s="36" t="s">
        <v>634</v>
      </c>
      <c r="D459" s="8" t="s">
        <v>325</v>
      </c>
      <c r="E459" s="37">
        <f>33950-11689</f>
        <v>22261</v>
      </c>
      <c r="F459" s="54"/>
      <c r="G459" s="37">
        <v>16828.6</v>
      </c>
      <c r="H459" s="54"/>
      <c r="I459" s="120"/>
    </row>
    <row r="460" spans="1:9" s="1" customFormat="1" ht="60.75" customHeight="1">
      <c r="A460" s="39" t="s">
        <v>570</v>
      </c>
      <c r="B460" s="36" t="s">
        <v>12</v>
      </c>
      <c r="C460" s="8" t="s">
        <v>571</v>
      </c>
      <c r="D460" s="8"/>
      <c r="E460" s="37">
        <f>E461</f>
        <v>15000</v>
      </c>
      <c r="F460" s="54"/>
      <c r="G460" s="37">
        <f>G461</f>
        <v>12880</v>
      </c>
      <c r="H460" s="54"/>
      <c r="I460" s="120"/>
    </row>
    <row r="461" spans="1:9" s="1" customFormat="1" ht="34.5" customHeight="1">
      <c r="A461" s="57" t="s">
        <v>632</v>
      </c>
      <c r="B461" s="36" t="s">
        <v>12</v>
      </c>
      <c r="C461" s="8" t="s">
        <v>571</v>
      </c>
      <c r="D461" s="8" t="s">
        <v>327</v>
      </c>
      <c r="E461" s="37">
        <f>E462</f>
        <v>15000</v>
      </c>
      <c r="F461" s="54"/>
      <c r="G461" s="37">
        <f>G462</f>
        <v>12880</v>
      </c>
      <c r="H461" s="54"/>
      <c r="I461" s="120"/>
    </row>
    <row r="462" spans="1:9" s="1" customFormat="1" ht="24" customHeight="1">
      <c r="A462" s="55" t="s">
        <v>326</v>
      </c>
      <c r="B462" s="36" t="s">
        <v>12</v>
      </c>
      <c r="C462" s="8" t="s">
        <v>571</v>
      </c>
      <c r="D462" s="8" t="s">
        <v>325</v>
      </c>
      <c r="E462" s="37">
        <f>15000</f>
        <v>15000</v>
      </c>
      <c r="F462" s="54"/>
      <c r="G462" s="37">
        <v>12880</v>
      </c>
      <c r="H462" s="54"/>
      <c r="I462" s="120"/>
    </row>
    <row r="463" spans="1:9" s="1" customFormat="1" ht="32.25" customHeight="1">
      <c r="A463" s="43" t="s">
        <v>470</v>
      </c>
      <c r="B463" s="36" t="s">
        <v>12</v>
      </c>
      <c r="C463" s="8" t="s">
        <v>437</v>
      </c>
      <c r="D463" s="8"/>
      <c r="E463" s="50">
        <f>E464</f>
        <v>53788.899999999994</v>
      </c>
      <c r="F463" s="54"/>
      <c r="G463" s="50">
        <f>G464</f>
        <v>53782.899999999994</v>
      </c>
      <c r="H463" s="54"/>
      <c r="I463" s="120"/>
    </row>
    <row r="464" spans="1:9" s="1" customFormat="1" ht="21" customHeight="1">
      <c r="A464" s="43" t="s">
        <v>460</v>
      </c>
      <c r="B464" s="36" t="s">
        <v>12</v>
      </c>
      <c r="C464" s="8" t="s">
        <v>461</v>
      </c>
      <c r="D464" s="8"/>
      <c r="E464" s="50">
        <f>E465+E468+E471</f>
        <v>53788.899999999994</v>
      </c>
      <c r="F464" s="54"/>
      <c r="G464" s="50">
        <f>G465+G468+G471</f>
        <v>53782.899999999994</v>
      </c>
      <c r="H464" s="54"/>
      <c r="I464" s="120"/>
    </row>
    <row r="465" spans="1:9" s="1" customFormat="1" ht="90.75" customHeight="1">
      <c r="A465" s="55" t="s">
        <v>636</v>
      </c>
      <c r="B465" s="36" t="s">
        <v>12</v>
      </c>
      <c r="C465" s="8" t="s">
        <v>548</v>
      </c>
      <c r="D465" s="45"/>
      <c r="E465" s="47">
        <f>E466</f>
        <v>17476.6</v>
      </c>
      <c r="F465" s="54"/>
      <c r="G465" s="47">
        <f>G466</f>
        <v>17470.6</v>
      </c>
      <c r="H465" s="54"/>
      <c r="I465" s="120"/>
    </row>
    <row r="466" spans="1:9" s="1" customFormat="1" ht="33.75" customHeight="1">
      <c r="A466" s="57" t="s">
        <v>328</v>
      </c>
      <c r="B466" s="36" t="s">
        <v>12</v>
      </c>
      <c r="C466" s="8" t="s">
        <v>548</v>
      </c>
      <c r="D466" s="45" t="s">
        <v>327</v>
      </c>
      <c r="E466" s="47">
        <f>E467</f>
        <v>17476.6</v>
      </c>
      <c r="F466" s="54"/>
      <c r="G466" s="47">
        <f>G467</f>
        <v>17470.6</v>
      </c>
      <c r="H466" s="54"/>
      <c r="I466" s="120"/>
    </row>
    <row r="467" spans="1:9" s="1" customFormat="1" ht="24" customHeight="1">
      <c r="A467" s="55" t="s">
        <v>326</v>
      </c>
      <c r="B467" s="36" t="s">
        <v>12</v>
      </c>
      <c r="C467" s="8" t="s">
        <v>548</v>
      </c>
      <c r="D467" s="45" t="s">
        <v>325</v>
      </c>
      <c r="E467" s="47">
        <f>22000-7756.2-1467.2+2700+2000</f>
        <v>17476.6</v>
      </c>
      <c r="F467" s="54"/>
      <c r="G467" s="47">
        <v>17470.6</v>
      </c>
      <c r="H467" s="54"/>
      <c r="I467" s="120"/>
    </row>
    <row r="468" spans="1:9" s="1" customFormat="1" ht="91.5" customHeight="1">
      <c r="A468" s="55" t="s">
        <v>680</v>
      </c>
      <c r="B468" s="36" t="s">
        <v>12</v>
      </c>
      <c r="C468" s="8" t="s">
        <v>681</v>
      </c>
      <c r="D468" s="45"/>
      <c r="E468" s="47">
        <f>E469</f>
        <v>27089</v>
      </c>
      <c r="F468" s="54"/>
      <c r="G468" s="47">
        <f>G469</f>
        <v>27089</v>
      </c>
      <c r="H468" s="54"/>
      <c r="I468" s="120"/>
    </row>
    <row r="469" spans="1:9" s="1" customFormat="1" ht="29.25" customHeight="1">
      <c r="A469" s="57" t="s">
        <v>328</v>
      </c>
      <c r="B469" s="36" t="s">
        <v>12</v>
      </c>
      <c r="C469" s="8" t="s">
        <v>681</v>
      </c>
      <c r="D469" s="45" t="s">
        <v>327</v>
      </c>
      <c r="E469" s="47">
        <f>E470</f>
        <v>27089</v>
      </c>
      <c r="F469" s="54"/>
      <c r="G469" s="47">
        <f>G470</f>
        <v>27089</v>
      </c>
      <c r="H469" s="54"/>
      <c r="I469" s="120"/>
    </row>
    <row r="470" spans="1:9" s="1" customFormat="1" ht="24" customHeight="1">
      <c r="A470" s="55" t="s">
        <v>326</v>
      </c>
      <c r="B470" s="36" t="s">
        <v>12</v>
      </c>
      <c r="C470" s="8" t="s">
        <v>681</v>
      </c>
      <c r="D470" s="45" t="s">
        <v>325</v>
      </c>
      <c r="E470" s="47">
        <f>27089</f>
        <v>27089</v>
      </c>
      <c r="F470" s="54"/>
      <c r="G470" s="47">
        <v>27089</v>
      </c>
      <c r="H470" s="54"/>
      <c r="I470" s="120"/>
    </row>
    <row r="471" spans="1:9" s="1" customFormat="1" ht="90.75" customHeight="1">
      <c r="A471" s="55" t="s">
        <v>637</v>
      </c>
      <c r="B471" s="36" t="s">
        <v>12</v>
      </c>
      <c r="C471" s="8" t="s">
        <v>681</v>
      </c>
      <c r="D471" s="45"/>
      <c r="E471" s="47">
        <f>E472</f>
        <v>9223.3</v>
      </c>
      <c r="F471" s="54"/>
      <c r="G471" s="47">
        <f>G472</f>
        <v>9223.3</v>
      </c>
      <c r="H471" s="54"/>
      <c r="I471" s="120"/>
    </row>
    <row r="472" spans="1:9" s="1" customFormat="1" ht="28.5" customHeight="1">
      <c r="A472" s="57" t="s">
        <v>328</v>
      </c>
      <c r="B472" s="36" t="s">
        <v>12</v>
      </c>
      <c r="C472" s="8" t="s">
        <v>681</v>
      </c>
      <c r="D472" s="45" t="s">
        <v>327</v>
      </c>
      <c r="E472" s="47">
        <f>E473</f>
        <v>9223.3</v>
      </c>
      <c r="F472" s="54"/>
      <c r="G472" s="47">
        <f>G473</f>
        <v>9223.3</v>
      </c>
      <c r="H472" s="54"/>
      <c r="I472" s="120"/>
    </row>
    <row r="473" spans="1:9" s="1" customFormat="1" ht="24" customHeight="1">
      <c r="A473" s="55" t="s">
        <v>326</v>
      </c>
      <c r="B473" s="36" t="s">
        <v>12</v>
      </c>
      <c r="C473" s="8" t="s">
        <v>681</v>
      </c>
      <c r="D473" s="45" t="s">
        <v>325</v>
      </c>
      <c r="E473" s="47">
        <f>9223.3</f>
        <v>9223.3</v>
      </c>
      <c r="F473" s="54"/>
      <c r="G473" s="47">
        <v>9223.3</v>
      </c>
      <c r="H473" s="54"/>
      <c r="I473" s="120"/>
    </row>
    <row r="474" spans="1:9" s="1" customFormat="1" ht="24" customHeight="1">
      <c r="A474" s="46" t="s">
        <v>518</v>
      </c>
      <c r="B474" s="113" t="s">
        <v>519</v>
      </c>
      <c r="C474" s="8"/>
      <c r="D474" s="45"/>
      <c r="E474" s="114">
        <f>E508+E475</f>
        <v>43918.3</v>
      </c>
      <c r="F474" s="114">
        <f>F508+F475</f>
        <v>24817.199999999997</v>
      </c>
      <c r="G474" s="114">
        <f>G508+G475</f>
        <v>43245.200000000004</v>
      </c>
      <c r="H474" s="114">
        <f>H508+H475</f>
        <v>24312.4</v>
      </c>
      <c r="I474" s="16">
        <f>G474/E474*100</f>
        <v>98.46738147879131</v>
      </c>
    </row>
    <row r="475" spans="1:9" s="1" customFormat="1" ht="45" customHeight="1">
      <c r="A475" s="49" t="s">
        <v>263</v>
      </c>
      <c r="B475" s="34" t="s">
        <v>519</v>
      </c>
      <c r="C475" s="8" t="s">
        <v>135</v>
      </c>
      <c r="D475" s="45"/>
      <c r="E475" s="50">
        <f>E476+E483</f>
        <v>43461.700000000004</v>
      </c>
      <c r="F475" s="50">
        <f>F476+F483</f>
        <v>24479.6</v>
      </c>
      <c r="G475" s="50">
        <f>G476+G483</f>
        <v>42808.50000000001</v>
      </c>
      <c r="H475" s="50">
        <f>H476+H483</f>
        <v>23974.800000000003</v>
      </c>
      <c r="I475" s="120"/>
    </row>
    <row r="476" spans="1:9" s="1" customFormat="1" ht="20.25" customHeight="1">
      <c r="A476" s="57" t="s">
        <v>276</v>
      </c>
      <c r="B476" s="34" t="s">
        <v>519</v>
      </c>
      <c r="C476" s="8" t="s">
        <v>136</v>
      </c>
      <c r="D476" s="34"/>
      <c r="E476" s="50">
        <f>E477+E480</f>
        <v>3455.8</v>
      </c>
      <c r="F476" s="50">
        <f>F477</f>
        <v>972</v>
      </c>
      <c r="G476" s="50">
        <f>G477+G480</f>
        <v>3455.8</v>
      </c>
      <c r="H476" s="50">
        <f>H477</f>
        <v>972</v>
      </c>
      <c r="I476" s="120"/>
    </row>
    <row r="477" spans="1:9" s="1" customFormat="1" ht="74.25" customHeight="1">
      <c r="A477" s="33" t="s">
        <v>567</v>
      </c>
      <c r="B477" s="34" t="s">
        <v>519</v>
      </c>
      <c r="C477" s="8" t="s">
        <v>569</v>
      </c>
      <c r="D477" s="35"/>
      <c r="E477" s="54">
        <f>E478</f>
        <v>972</v>
      </c>
      <c r="F477" s="54">
        <f>F478</f>
        <v>972</v>
      </c>
      <c r="G477" s="54">
        <f>G478</f>
        <v>972</v>
      </c>
      <c r="H477" s="54">
        <f>H478</f>
        <v>972</v>
      </c>
      <c r="I477" s="120"/>
    </row>
    <row r="478" spans="1:9" s="1" customFormat="1" ht="32.25" customHeight="1">
      <c r="A478" s="49" t="s">
        <v>328</v>
      </c>
      <c r="B478" s="34" t="s">
        <v>519</v>
      </c>
      <c r="C478" s="8" t="s">
        <v>569</v>
      </c>
      <c r="D478" s="35" t="s">
        <v>327</v>
      </c>
      <c r="E478" s="54">
        <f>E479</f>
        <v>972</v>
      </c>
      <c r="F478" s="54">
        <f>F479</f>
        <v>972</v>
      </c>
      <c r="G478" s="54">
        <f>G479</f>
        <v>972</v>
      </c>
      <c r="H478" s="54">
        <f>H479</f>
        <v>972</v>
      </c>
      <c r="I478" s="120"/>
    </row>
    <row r="479" spans="1:9" s="1" customFormat="1" ht="24" customHeight="1">
      <c r="A479" s="49" t="s">
        <v>326</v>
      </c>
      <c r="B479" s="34" t="s">
        <v>519</v>
      </c>
      <c r="C479" s="8" t="s">
        <v>569</v>
      </c>
      <c r="D479" s="35" t="s">
        <v>325</v>
      </c>
      <c r="E479" s="37">
        <f>1000-28</f>
        <v>972</v>
      </c>
      <c r="F479" s="37">
        <f>E479</f>
        <v>972</v>
      </c>
      <c r="G479" s="37">
        <v>972</v>
      </c>
      <c r="H479" s="37">
        <f>G479</f>
        <v>972</v>
      </c>
      <c r="I479" s="120"/>
    </row>
    <row r="480" spans="1:9" s="1" customFormat="1" ht="90" customHeight="1">
      <c r="A480" s="33" t="s">
        <v>568</v>
      </c>
      <c r="B480" s="34" t="s">
        <v>519</v>
      </c>
      <c r="C480" s="8" t="s">
        <v>569</v>
      </c>
      <c r="D480" s="35"/>
      <c r="E480" s="54">
        <f>E481</f>
        <v>2483.8</v>
      </c>
      <c r="F480" s="54"/>
      <c r="G480" s="54">
        <f>G481</f>
        <v>2483.8</v>
      </c>
      <c r="H480" s="54"/>
      <c r="I480" s="120"/>
    </row>
    <row r="481" spans="1:9" s="1" customFormat="1" ht="33" customHeight="1">
      <c r="A481" s="49" t="s">
        <v>328</v>
      </c>
      <c r="B481" s="34" t="s">
        <v>519</v>
      </c>
      <c r="C481" s="8" t="s">
        <v>569</v>
      </c>
      <c r="D481" s="35" t="s">
        <v>327</v>
      </c>
      <c r="E481" s="54">
        <f>E482</f>
        <v>2483.8</v>
      </c>
      <c r="F481" s="54"/>
      <c r="G481" s="54">
        <f>G482</f>
        <v>2483.8</v>
      </c>
      <c r="H481" s="54"/>
      <c r="I481" s="120"/>
    </row>
    <row r="482" spans="1:9" s="1" customFormat="1" ht="21.75" customHeight="1">
      <c r="A482" s="49" t="s">
        <v>326</v>
      </c>
      <c r="B482" s="34" t="s">
        <v>519</v>
      </c>
      <c r="C482" s="8" t="s">
        <v>569</v>
      </c>
      <c r="D482" s="35" t="s">
        <v>325</v>
      </c>
      <c r="E482" s="37">
        <f>2497.8-14</f>
        <v>2483.8</v>
      </c>
      <c r="F482" s="54"/>
      <c r="G482" s="37">
        <v>2483.8</v>
      </c>
      <c r="H482" s="54"/>
      <c r="I482" s="120"/>
    </row>
    <row r="483" spans="1:9" s="1" customFormat="1" ht="24" customHeight="1">
      <c r="A483" s="33" t="s">
        <v>277</v>
      </c>
      <c r="B483" s="35" t="s">
        <v>519</v>
      </c>
      <c r="C483" s="8" t="s">
        <v>33</v>
      </c>
      <c r="D483" s="34"/>
      <c r="E483" s="50">
        <f>E484+E487+E490+E496+E493+E499+E502+E505</f>
        <v>40005.9</v>
      </c>
      <c r="F483" s="50">
        <f>F484+F487+F490+F496+F493+F499</f>
        <v>23507.6</v>
      </c>
      <c r="G483" s="50">
        <f>G484+G487+G490+G496+G493+G499+G502+G505</f>
        <v>39352.700000000004</v>
      </c>
      <c r="H483" s="50">
        <f>H484+H487+H490+H496+H493+H499</f>
        <v>23002.800000000003</v>
      </c>
      <c r="I483" s="120"/>
    </row>
    <row r="484" spans="1:9" s="1" customFormat="1" ht="75.75" customHeight="1">
      <c r="A484" s="33" t="s">
        <v>567</v>
      </c>
      <c r="B484" s="35" t="s">
        <v>519</v>
      </c>
      <c r="C484" s="8" t="s">
        <v>711</v>
      </c>
      <c r="D484" s="35"/>
      <c r="E484" s="54">
        <f aca="true" t="shared" si="14" ref="E484:H485">E485</f>
        <v>2856.6</v>
      </c>
      <c r="F484" s="54">
        <f t="shared" si="14"/>
        <v>2856.6</v>
      </c>
      <c r="G484" s="54">
        <f t="shared" si="14"/>
        <v>2856.6</v>
      </c>
      <c r="H484" s="54">
        <f t="shared" si="14"/>
        <v>2856.6</v>
      </c>
      <c r="I484" s="120"/>
    </row>
    <row r="485" spans="1:9" s="1" customFormat="1" ht="33" customHeight="1">
      <c r="A485" s="49" t="s">
        <v>328</v>
      </c>
      <c r="B485" s="35" t="s">
        <v>519</v>
      </c>
      <c r="C485" s="8" t="s">
        <v>711</v>
      </c>
      <c r="D485" s="35" t="s">
        <v>327</v>
      </c>
      <c r="E485" s="54">
        <f t="shared" si="14"/>
        <v>2856.6</v>
      </c>
      <c r="F485" s="54">
        <f t="shared" si="14"/>
        <v>2856.6</v>
      </c>
      <c r="G485" s="54">
        <f t="shared" si="14"/>
        <v>2856.6</v>
      </c>
      <c r="H485" s="54">
        <f t="shared" si="14"/>
        <v>2856.6</v>
      </c>
      <c r="I485" s="120"/>
    </row>
    <row r="486" spans="1:9" s="1" customFormat="1" ht="24" customHeight="1">
      <c r="A486" s="49" t="s">
        <v>326</v>
      </c>
      <c r="B486" s="35" t="s">
        <v>519</v>
      </c>
      <c r="C486" s="8" t="s">
        <v>711</v>
      </c>
      <c r="D486" s="35" t="s">
        <v>325</v>
      </c>
      <c r="E486" s="37">
        <f>2912-83.4+28</f>
        <v>2856.6</v>
      </c>
      <c r="F486" s="37">
        <f>E486</f>
        <v>2856.6</v>
      </c>
      <c r="G486" s="37">
        <v>2856.6</v>
      </c>
      <c r="H486" s="37">
        <f>G486</f>
        <v>2856.6</v>
      </c>
      <c r="I486" s="120"/>
    </row>
    <row r="487" spans="1:9" s="1" customFormat="1" ht="91.5" customHeight="1">
      <c r="A487" s="33" t="s">
        <v>568</v>
      </c>
      <c r="B487" s="34" t="s">
        <v>519</v>
      </c>
      <c r="C487" s="8" t="s">
        <v>711</v>
      </c>
      <c r="D487" s="35"/>
      <c r="E487" s="54">
        <f>E488</f>
        <v>8884.199999999999</v>
      </c>
      <c r="F487" s="54"/>
      <c r="G487" s="54">
        <f>G488</f>
        <v>8884.2</v>
      </c>
      <c r="H487" s="54"/>
      <c r="I487" s="120"/>
    </row>
    <row r="488" spans="1:9" s="1" customFormat="1" ht="30.75" customHeight="1">
      <c r="A488" s="49" t="s">
        <v>328</v>
      </c>
      <c r="B488" s="34" t="s">
        <v>519</v>
      </c>
      <c r="C488" s="8" t="s">
        <v>711</v>
      </c>
      <c r="D488" s="35" t="s">
        <v>327</v>
      </c>
      <c r="E488" s="54">
        <f>E489</f>
        <v>8884.199999999999</v>
      </c>
      <c r="F488" s="54"/>
      <c r="G488" s="54">
        <f>G489</f>
        <v>8884.2</v>
      </c>
      <c r="H488" s="54"/>
      <c r="I488" s="120"/>
    </row>
    <row r="489" spans="1:9" s="1" customFormat="1" ht="24" customHeight="1">
      <c r="A489" s="49" t="s">
        <v>326</v>
      </c>
      <c r="B489" s="34" t="s">
        <v>519</v>
      </c>
      <c r="C489" s="8" t="s">
        <v>711</v>
      </c>
      <c r="D489" s="35" t="s">
        <v>325</v>
      </c>
      <c r="E489" s="37">
        <f>12456.3-3447.1-157+14+18</f>
        <v>8884.199999999999</v>
      </c>
      <c r="F489" s="54"/>
      <c r="G489" s="37">
        <v>8884.2</v>
      </c>
      <c r="H489" s="54"/>
      <c r="I489" s="120"/>
    </row>
    <row r="490" spans="1:9" s="1" customFormat="1" ht="78" customHeight="1">
      <c r="A490" s="33" t="s">
        <v>607</v>
      </c>
      <c r="B490" s="34" t="s">
        <v>519</v>
      </c>
      <c r="C490" s="8" t="s">
        <v>710</v>
      </c>
      <c r="D490" s="35"/>
      <c r="E490" s="54">
        <f>E491</f>
        <v>3447.1</v>
      </c>
      <c r="F490" s="54"/>
      <c r="G490" s="54">
        <f>G491</f>
        <v>3447.1</v>
      </c>
      <c r="H490" s="54"/>
      <c r="I490" s="120"/>
    </row>
    <row r="491" spans="1:9" s="1" customFormat="1" ht="33.75" customHeight="1">
      <c r="A491" s="49" t="s">
        <v>328</v>
      </c>
      <c r="B491" s="34" t="s">
        <v>519</v>
      </c>
      <c r="C491" s="8" t="s">
        <v>710</v>
      </c>
      <c r="D491" s="35" t="s">
        <v>327</v>
      </c>
      <c r="E491" s="54">
        <f>E492</f>
        <v>3447.1</v>
      </c>
      <c r="F491" s="54"/>
      <c r="G491" s="54">
        <f>G492</f>
        <v>3447.1</v>
      </c>
      <c r="H491" s="54"/>
      <c r="I491" s="120"/>
    </row>
    <row r="492" spans="1:9" s="1" customFormat="1" ht="24" customHeight="1">
      <c r="A492" s="49" t="s">
        <v>326</v>
      </c>
      <c r="B492" s="34" t="s">
        <v>519</v>
      </c>
      <c r="C492" s="8" t="s">
        <v>710</v>
      </c>
      <c r="D492" s="35" t="s">
        <v>325</v>
      </c>
      <c r="E492" s="37">
        <f>3447.1</f>
        <v>3447.1</v>
      </c>
      <c r="F492" s="54"/>
      <c r="G492" s="37">
        <v>3447.1</v>
      </c>
      <c r="H492" s="54"/>
      <c r="I492" s="120"/>
    </row>
    <row r="493" spans="1:9" s="1" customFormat="1" ht="45.75" customHeight="1">
      <c r="A493" s="49" t="s">
        <v>663</v>
      </c>
      <c r="B493" s="34" t="s">
        <v>519</v>
      </c>
      <c r="C493" s="8" t="s">
        <v>664</v>
      </c>
      <c r="D493" s="35"/>
      <c r="E493" s="54">
        <f aca="true" t="shared" si="15" ref="E493:H494">E494</f>
        <v>9256</v>
      </c>
      <c r="F493" s="54">
        <f t="shared" si="15"/>
        <v>8623</v>
      </c>
      <c r="G493" s="54">
        <f t="shared" si="15"/>
        <v>9256</v>
      </c>
      <c r="H493" s="54">
        <f t="shared" si="15"/>
        <v>8623</v>
      </c>
      <c r="I493" s="120"/>
    </row>
    <row r="494" spans="1:9" s="1" customFormat="1" ht="32.25" customHeight="1">
      <c r="A494" s="49" t="s">
        <v>328</v>
      </c>
      <c r="B494" s="34" t="s">
        <v>519</v>
      </c>
      <c r="C494" s="8" t="s">
        <v>664</v>
      </c>
      <c r="D494" s="35" t="s">
        <v>327</v>
      </c>
      <c r="E494" s="54">
        <f t="shared" si="15"/>
        <v>9256</v>
      </c>
      <c r="F494" s="54">
        <f t="shared" si="15"/>
        <v>8623</v>
      </c>
      <c r="G494" s="54">
        <f t="shared" si="15"/>
        <v>9256</v>
      </c>
      <c r="H494" s="54">
        <f t="shared" si="15"/>
        <v>8623</v>
      </c>
      <c r="I494" s="120"/>
    </row>
    <row r="495" spans="1:9" s="1" customFormat="1" ht="20.25" customHeight="1">
      <c r="A495" s="49" t="s">
        <v>326</v>
      </c>
      <c r="B495" s="34" t="s">
        <v>519</v>
      </c>
      <c r="C495" s="8" t="s">
        <v>664</v>
      </c>
      <c r="D495" s="35" t="s">
        <v>325</v>
      </c>
      <c r="E495" s="37">
        <f>8623+633</f>
        <v>9256</v>
      </c>
      <c r="F495" s="54">
        <v>8623</v>
      </c>
      <c r="G495" s="37">
        <v>9256</v>
      </c>
      <c r="H495" s="54">
        <v>8623</v>
      </c>
      <c r="I495" s="120"/>
    </row>
    <row r="496" spans="1:9" s="1" customFormat="1" ht="32.25" customHeight="1">
      <c r="A496" s="49" t="s">
        <v>662</v>
      </c>
      <c r="B496" s="34" t="s">
        <v>519</v>
      </c>
      <c r="C496" s="8" t="s">
        <v>669</v>
      </c>
      <c r="D496" s="35"/>
      <c r="E496" s="54">
        <f aca="true" t="shared" si="16" ref="E496:H497">E497</f>
        <v>1758</v>
      </c>
      <c r="F496" s="54">
        <f t="shared" si="16"/>
        <v>1758</v>
      </c>
      <c r="G496" s="54">
        <f t="shared" si="16"/>
        <v>1305.1</v>
      </c>
      <c r="H496" s="54">
        <f t="shared" si="16"/>
        <v>1305.1</v>
      </c>
      <c r="I496" s="120"/>
    </row>
    <row r="497" spans="1:9" s="1" customFormat="1" ht="31.5" customHeight="1">
      <c r="A497" s="49" t="s">
        <v>328</v>
      </c>
      <c r="B497" s="34" t="s">
        <v>519</v>
      </c>
      <c r="C497" s="8" t="s">
        <v>669</v>
      </c>
      <c r="D497" s="35" t="s">
        <v>327</v>
      </c>
      <c r="E497" s="54">
        <f t="shared" si="16"/>
        <v>1758</v>
      </c>
      <c r="F497" s="54">
        <f t="shared" si="16"/>
        <v>1758</v>
      </c>
      <c r="G497" s="54">
        <f t="shared" si="16"/>
        <v>1305.1</v>
      </c>
      <c r="H497" s="54">
        <f t="shared" si="16"/>
        <v>1305.1</v>
      </c>
      <c r="I497" s="120"/>
    </row>
    <row r="498" spans="1:9" s="1" customFormat="1" ht="20.25" customHeight="1">
      <c r="A498" s="49" t="s">
        <v>326</v>
      </c>
      <c r="B498" s="34" t="s">
        <v>519</v>
      </c>
      <c r="C498" s="8" t="s">
        <v>669</v>
      </c>
      <c r="D498" s="35" t="s">
        <v>325</v>
      </c>
      <c r="E498" s="37">
        <f>1758</f>
        <v>1758</v>
      </c>
      <c r="F498" s="54">
        <f>E498</f>
        <v>1758</v>
      </c>
      <c r="G498" s="37">
        <v>1305.1</v>
      </c>
      <c r="H498" s="54">
        <f>G498</f>
        <v>1305.1</v>
      </c>
      <c r="I498" s="120"/>
    </row>
    <row r="499" spans="1:9" s="1" customFormat="1" ht="50.25" customHeight="1">
      <c r="A499" s="49" t="s">
        <v>665</v>
      </c>
      <c r="B499" s="34" t="s">
        <v>519</v>
      </c>
      <c r="C499" s="8" t="s">
        <v>670</v>
      </c>
      <c r="D499" s="35"/>
      <c r="E499" s="54">
        <f aca="true" t="shared" si="17" ref="E499:H500">E500</f>
        <v>10270</v>
      </c>
      <c r="F499" s="54">
        <f t="shared" si="17"/>
        <v>10270</v>
      </c>
      <c r="G499" s="54">
        <f t="shared" si="17"/>
        <v>10218.1</v>
      </c>
      <c r="H499" s="54">
        <f t="shared" si="17"/>
        <v>10218.1</v>
      </c>
      <c r="I499" s="120"/>
    </row>
    <row r="500" spans="1:9" s="1" customFormat="1" ht="32.25" customHeight="1">
      <c r="A500" s="49" t="s">
        <v>328</v>
      </c>
      <c r="B500" s="34" t="s">
        <v>519</v>
      </c>
      <c r="C500" s="8" t="s">
        <v>670</v>
      </c>
      <c r="D500" s="35" t="s">
        <v>327</v>
      </c>
      <c r="E500" s="54">
        <f t="shared" si="17"/>
        <v>10270</v>
      </c>
      <c r="F500" s="54">
        <f t="shared" si="17"/>
        <v>10270</v>
      </c>
      <c r="G500" s="54">
        <f t="shared" si="17"/>
        <v>10218.1</v>
      </c>
      <c r="H500" s="54">
        <f t="shared" si="17"/>
        <v>10218.1</v>
      </c>
      <c r="I500" s="120"/>
    </row>
    <row r="501" spans="1:9" s="1" customFormat="1" ht="20.25" customHeight="1">
      <c r="A501" s="49" t="s">
        <v>326</v>
      </c>
      <c r="B501" s="34" t="s">
        <v>519</v>
      </c>
      <c r="C501" s="8" t="s">
        <v>670</v>
      </c>
      <c r="D501" s="35" t="s">
        <v>325</v>
      </c>
      <c r="E501" s="37">
        <f>10270</f>
        <v>10270</v>
      </c>
      <c r="F501" s="54">
        <f>E501</f>
        <v>10270</v>
      </c>
      <c r="G501" s="37">
        <v>10218.1</v>
      </c>
      <c r="H501" s="54">
        <f>G501</f>
        <v>10218.1</v>
      </c>
      <c r="I501" s="120"/>
    </row>
    <row r="502" spans="1:9" s="1" customFormat="1" ht="45.75" customHeight="1">
      <c r="A502" s="49" t="s">
        <v>668</v>
      </c>
      <c r="B502" s="34" t="s">
        <v>519</v>
      </c>
      <c r="C502" s="8" t="s">
        <v>669</v>
      </c>
      <c r="D502" s="35"/>
      <c r="E502" s="54">
        <f>E503</f>
        <v>517</v>
      </c>
      <c r="F502" s="54"/>
      <c r="G502" s="54">
        <f>G503</f>
        <v>383.8</v>
      </c>
      <c r="H502" s="54"/>
      <c r="I502" s="120"/>
    </row>
    <row r="503" spans="1:9" s="1" customFormat="1" ht="30.75" customHeight="1">
      <c r="A503" s="49" t="s">
        <v>328</v>
      </c>
      <c r="B503" s="34" t="s">
        <v>519</v>
      </c>
      <c r="C503" s="8" t="s">
        <v>669</v>
      </c>
      <c r="D503" s="35" t="s">
        <v>327</v>
      </c>
      <c r="E503" s="54">
        <f>E504</f>
        <v>517</v>
      </c>
      <c r="F503" s="54"/>
      <c r="G503" s="54">
        <f>G504</f>
        <v>383.8</v>
      </c>
      <c r="H503" s="54"/>
      <c r="I503" s="120"/>
    </row>
    <row r="504" spans="1:9" s="1" customFormat="1" ht="20.25" customHeight="1">
      <c r="A504" s="49" t="s">
        <v>326</v>
      </c>
      <c r="B504" s="34" t="s">
        <v>519</v>
      </c>
      <c r="C504" s="8" t="s">
        <v>669</v>
      </c>
      <c r="D504" s="35" t="s">
        <v>325</v>
      </c>
      <c r="E504" s="37">
        <f>517</f>
        <v>517</v>
      </c>
      <c r="F504" s="54"/>
      <c r="G504" s="37">
        <v>383.8</v>
      </c>
      <c r="H504" s="54"/>
      <c r="I504" s="120"/>
    </row>
    <row r="505" spans="1:9" s="1" customFormat="1" ht="55.5" customHeight="1">
      <c r="A505" s="49" t="s">
        <v>671</v>
      </c>
      <c r="B505" s="34" t="s">
        <v>519</v>
      </c>
      <c r="C505" s="8" t="s">
        <v>670</v>
      </c>
      <c r="D505" s="35"/>
      <c r="E505" s="54">
        <f>E506</f>
        <v>3017</v>
      </c>
      <c r="F505" s="54"/>
      <c r="G505" s="54">
        <f>G506</f>
        <v>3001.8</v>
      </c>
      <c r="H505" s="54"/>
      <c r="I505" s="120"/>
    </row>
    <row r="506" spans="1:9" s="1" customFormat="1" ht="29.25" customHeight="1">
      <c r="A506" s="49" t="s">
        <v>328</v>
      </c>
      <c r="B506" s="34" t="s">
        <v>519</v>
      </c>
      <c r="C506" s="8" t="s">
        <v>670</v>
      </c>
      <c r="D506" s="35" t="s">
        <v>327</v>
      </c>
      <c r="E506" s="54">
        <f>E507</f>
        <v>3017</v>
      </c>
      <c r="F506" s="54"/>
      <c r="G506" s="54">
        <f>G507</f>
        <v>3001.8</v>
      </c>
      <c r="H506" s="54"/>
      <c r="I506" s="120"/>
    </row>
    <row r="507" spans="1:9" s="1" customFormat="1" ht="20.25" customHeight="1">
      <c r="A507" s="49" t="s">
        <v>326</v>
      </c>
      <c r="B507" s="34" t="s">
        <v>519</v>
      </c>
      <c r="C507" s="8" t="s">
        <v>670</v>
      </c>
      <c r="D507" s="35" t="s">
        <v>325</v>
      </c>
      <c r="E507" s="37">
        <f>3017</f>
        <v>3017</v>
      </c>
      <c r="F507" s="54"/>
      <c r="G507" s="37">
        <v>3001.8</v>
      </c>
      <c r="H507" s="54"/>
      <c r="I507" s="120"/>
    </row>
    <row r="508" spans="1:9" s="1" customFormat="1" ht="75" customHeight="1">
      <c r="A508" s="33" t="s">
        <v>257</v>
      </c>
      <c r="B508" s="36" t="s">
        <v>519</v>
      </c>
      <c r="C508" s="34" t="s">
        <v>234</v>
      </c>
      <c r="D508" s="60"/>
      <c r="E508" s="54">
        <f>E509+E512</f>
        <v>456.6</v>
      </c>
      <c r="F508" s="54">
        <f aca="true" t="shared" si="18" ref="E508:H510">F509</f>
        <v>337.6</v>
      </c>
      <c r="G508" s="54">
        <f>G509+G512</f>
        <v>436.70000000000005</v>
      </c>
      <c r="H508" s="54">
        <f t="shared" si="18"/>
        <v>337.6</v>
      </c>
      <c r="I508" s="120"/>
    </row>
    <row r="509" spans="1:9" s="1" customFormat="1" ht="45" customHeight="1">
      <c r="A509" s="43" t="s">
        <v>520</v>
      </c>
      <c r="B509" s="36" t="s">
        <v>519</v>
      </c>
      <c r="C509" s="8" t="s">
        <v>572</v>
      </c>
      <c r="D509" s="45"/>
      <c r="E509" s="54">
        <f t="shared" si="18"/>
        <v>337.6</v>
      </c>
      <c r="F509" s="54">
        <f t="shared" si="18"/>
        <v>337.6</v>
      </c>
      <c r="G509" s="54">
        <f t="shared" si="18"/>
        <v>337.6</v>
      </c>
      <c r="H509" s="54">
        <f t="shared" si="18"/>
        <v>337.6</v>
      </c>
      <c r="I509" s="120"/>
    </row>
    <row r="510" spans="1:9" s="1" customFormat="1" ht="21" customHeight="1">
      <c r="A510" s="43" t="s">
        <v>170</v>
      </c>
      <c r="B510" s="36" t="s">
        <v>519</v>
      </c>
      <c r="C510" s="8" t="s">
        <v>572</v>
      </c>
      <c r="D510" s="45" t="s">
        <v>169</v>
      </c>
      <c r="E510" s="54">
        <f t="shared" si="18"/>
        <v>337.6</v>
      </c>
      <c r="F510" s="54">
        <f t="shared" si="18"/>
        <v>337.6</v>
      </c>
      <c r="G510" s="54">
        <f t="shared" si="18"/>
        <v>337.6</v>
      </c>
      <c r="H510" s="54">
        <f t="shared" si="18"/>
        <v>337.6</v>
      </c>
      <c r="I510" s="120"/>
    </row>
    <row r="511" spans="1:9" s="1" customFormat="1" ht="32.25" customHeight="1">
      <c r="A511" s="55" t="s">
        <v>172</v>
      </c>
      <c r="B511" s="36" t="s">
        <v>519</v>
      </c>
      <c r="C511" s="8" t="s">
        <v>572</v>
      </c>
      <c r="D511" s="45" t="s">
        <v>171</v>
      </c>
      <c r="E511" s="37">
        <v>337.6</v>
      </c>
      <c r="F511" s="37">
        <f>E511</f>
        <v>337.6</v>
      </c>
      <c r="G511" s="37">
        <v>337.6</v>
      </c>
      <c r="H511" s="37">
        <f>G511</f>
        <v>337.6</v>
      </c>
      <c r="I511" s="120"/>
    </row>
    <row r="512" spans="1:9" s="1" customFormat="1" ht="45" customHeight="1">
      <c r="A512" s="43" t="s">
        <v>522</v>
      </c>
      <c r="B512" s="36" t="s">
        <v>519</v>
      </c>
      <c r="C512" s="8" t="s">
        <v>572</v>
      </c>
      <c r="D512" s="45"/>
      <c r="E512" s="54">
        <f aca="true" t="shared" si="19" ref="E512:H513">E513</f>
        <v>119</v>
      </c>
      <c r="F512" s="54">
        <f t="shared" si="19"/>
        <v>0</v>
      </c>
      <c r="G512" s="54">
        <f t="shared" si="19"/>
        <v>99.1</v>
      </c>
      <c r="H512" s="54">
        <f t="shared" si="19"/>
        <v>0</v>
      </c>
      <c r="I512" s="120"/>
    </row>
    <row r="513" spans="1:9" s="1" customFormat="1" ht="24.75" customHeight="1">
      <c r="A513" s="43" t="s">
        <v>170</v>
      </c>
      <c r="B513" s="36" t="s">
        <v>519</v>
      </c>
      <c r="C513" s="8" t="s">
        <v>572</v>
      </c>
      <c r="D513" s="45" t="s">
        <v>169</v>
      </c>
      <c r="E513" s="54">
        <f t="shared" si="19"/>
        <v>119</v>
      </c>
      <c r="F513" s="54">
        <f t="shared" si="19"/>
        <v>0</v>
      </c>
      <c r="G513" s="54">
        <f t="shared" si="19"/>
        <v>99.1</v>
      </c>
      <c r="H513" s="54">
        <f t="shared" si="19"/>
        <v>0</v>
      </c>
      <c r="I513" s="120"/>
    </row>
    <row r="514" spans="1:9" s="1" customFormat="1" ht="32.25" customHeight="1">
      <c r="A514" s="55" t="s">
        <v>172</v>
      </c>
      <c r="B514" s="36" t="s">
        <v>519</v>
      </c>
      <c r="C514" s="8" t="s">
        <v>572</v>
      </c>
      <c r="D514" s="45" t="s">
        <v>171</v>
      </c>
      <c r="E514" s="37">
        <f>119</f>
        <v>119</v>
      </c>
      <c r="F514" s="37">
        <v>0</v>
      </c>
      <c r="G514" s="37">
        <v>99.1</v>
      </c>
      <c r="H514" s="37">
        <v>0</v>
      </c>
      <c r="I514" s="120"/>
    </row>
    <row r="515" spans="1:9" s="1" customFormat="1" ht="18" customHeight="1">
      <c r="A515" s="46" t="s">
        <v>132</v>
      </c>
      <c r="B515" s="59" t="s">
        <v>147</v>
      </c>
      <c r="C515" s="59"/>
      <c r="D515" s="59"/>
      <c r="E515" s="10">
        <f>E520+E548+E561+E572+E516</f>
        <v>76286.9</v>
      </c>
      <c r="F515" s="10">
        <f>F520+F548+F561</f>
        <v>5315</v>
      </c>
      <c r="G515" s="10">
        <f>G520+G548+G561+G572+G516</f>
        <v>75143.5</v>
      </c>
      <c r="H515" s="10">
        <f>H520+H548+H561</f>
        <v>5134.2</v>
      </c>
      <c r="I515" s="16">
        <f>G515/E515*100</f>
        <v>98.50118434488752</v>
      </c>
    </row>
    <row r="516" spans="1:9" s="1" customFormat="1" ht="75" customHeight="1">
      <c r="A516" s="33" t="s">
        <v>261</v>
      </c>
      <c r="B516" s="36" t="s">
        <v>147</v>
      </c>
      <c r="C516" s="36" t="s">
        <v>36</v>
      </c>
      <c r="D516" s="59"/>
      <c r="E516" s="54">
        <f>E517</f>
        <v>350</v>
      </c>
      <c r="F516" s="10"/>
      <c r="G516" s="54">
        <f>G517</f>
        <v>349.3</v>
      </c>
      <c r="H516" s="10"/>
      <c r="I516" s="120"/>
    </row>
    <row r="517" spans="1:9" s="1" customFormat="1" ht="75.75" customHeight="1">
      <c r="A517" s="33" t="s">
        <v>474</v>
      </c>
      <c r="B517" s="36" t="s">
        <v>147</v>
      </c>
      <c r="C517" s="36" t="s">
        <v>37</v>
      </c>
      <c r="D517" s="59"/>
      <c r="E517" s="54">
        <f>E518</f>
        <v>350</v>
      </c>
      <c r="F517" s="10"/>
      <c r="G517" s="54">
        <f>G518</f>
        <v>349.3</v>
      </c>
      <c r="H517" s="10"/>
      <c r="I517" s="120"/>
    </row>
    <row r="518" spans="1:9" s="1" customFormat="1" ht="19.5" customHeight="1">
      <c r="A518" s="43" t="s">
        <v>170</v>
      </c>
      <c r="B518" s="8" t="s">
        <v>147</v>
      </c>
      <c r="C518" s="36" t="s">
        <v>37</v>
      </c>
      <c r="D518" s="8" t="s">
        <v>169</v>
      </c>
      <c r="E518" s="54">
        <f>E519</f>
        <v>350</v>
      </c>
      <c r="F518" s="54"/>
      <c r="G518" s="54">
        <f>G519</f>
        <v>349.3</v>
      </c>
      <c r="H518" s="54"/>
      <c r="I518" s="120"/>
    </row>
    <row r="519" spans="1:9" s="1" customFormat="1" ht="29.25" customHeight="1">
      <c r="A519" s="55" t="s">
        <v>172</v>
      </c>
      <c r="B519" s="36" t="s">
        <v>147</v>
      </c>
      <c r="C519" s="36" t="s">
        <v>37</v>
      </c>
      <c r="D519" s="36" t="s">
        <v>171</v>
      </c>
      <c r="E519" s="37">
        <f>350</f>
        <v>350</v>
      </c>
      <c r="F519" s="37"/>
      <c r="G519" s="37">
        <v>349.3</v>
      </c>
      <c r="H519" s="37"/>
      <c r="I519" s="120"/>
    </row>
    <row r="520" spans="1:9" s="1" customFormat="1" ht="46.5" customHeight="1">
      <c r="A520" s="43" t="s">
        <v>236</v>
      </c>
      <c r="B520" s="8" t="s">
        <v>147</v>
      </c>
      <c r="C520" s="45" t="s">
        <v>178</v>
      </c>
      <c r="D520" s="8"/>
      <c r="E520" s="54">
        <f>E521+E532+E529+E539+E535+E545+E542</f>
        <v>35093.7</v>
      </c>
      <c r="F520" s="54"/>
      <c r="G520" s="54">
        <f>G521+G532+G529+G539+G535+G545+G542</f>
        <v>35083.6</v>
      </c>
      <c r="H520" s="54"/>
      <c r="I520" s="120"/>
    </row>
    <row r="521" spans="1:9" s="1" customFormat="1" ht="30" customHeight="1">
      <c r="A521" s="48" t="s">
        <v>329</v>
      </c>
      <c r="B521" s="36" t="s">
        <v>147</v>
      </c>
      <c r="C521" s="44" t="s">
        <v>179</v>
      </c>
      <c r="D521" s="36"/>
      <c r="E521" s="37">
        <f>E522</f>
        <v>19197.8</v>
      </c>
      <c r="F521" s="37"/>
      <c r="G521" s="37">
        <f>G522</f>
        <v>19197.8</v>
      </c>
      <c r="H521" s="37"/>
      <c r="I521" s="120"/>
    </row>
    <row r="522" spans="1:9" s="1" customFormat="1" ht="32.25" customHeight="1">
      <c r="A522" s="52" t="s">
        <v>473</v>
      </c>
      <c r="B522" s="36" t="s">
        <v>147</v>
      </c>
      <c r="C522" s="44" t="s">
        <v>179</v>
      </c>
      <c r="D522" s="8"/>
      <c r="E522" s="37">
        <f>E524+E526+E528</f>
        <v>19197.8</v>
      </c>
      <c r="F522" s="54"/>
      <c r="G522" s="37">
        <f>G524+G526+G528</f>
        <v>19197.8</v>
      </c>
      <c r="H522" s="54"/>
      <c r="I522" s="120"/>
    </row>
    <row r="523" spans="1:9" s="1" customFormat="1" ht="60.75" customHeight="1">
      <c r="A523" s="40" t="s">
        <v>320</v>
      </c>
      <c r="B523" s="8" t="s">
        <v>147</v>
      </c>
      <c r="C523" s="44" t="s">
        <v>179</v>
      </c>
      <c r="D523" s="8" t="s">
        <v>175</v>
      </c>
      <c r="E523" s="54">
        <f>E524</f>
        <v>17255.7</v>
      </c>
      <c r="F523" s="54"/>
      <c r="G523" s="54">
        <f>G524</f>
        <v>17255.7</v>
      </c>
      <c r="H523" s="54"/>
      <c r="I523" s="120"/>
    </row>
    <row r="524" spans="1:9" s="1" customFormat="1" ht="18" customHeight="1">
      <c r="A524" s="39" t="s">
        <v>322</v>
      </c>
      <c r="B524" s="36" t="s">
        <v>147</v>
      </c>
      <c r="C524" s="44" t="s">
        <v>179</v>
      </c>
      <c r="D524" s="36" t="s">
        <v>321</v>
      </c>
      <c r="E524" s="37">
        <f>16277.4+680+185.6+112.7</f>
        <v>17255.7</v>
      </c>
      <c r="F524" s="37"/>
      <c r="G524" s="37">
        <v>17255.7</v>
      </c>
      <c r="H524" s="37"/>
      <c r="I524" s="120"/>
    </row>
    <row r="525" spans="1:9" s="1" customFormat="1" ht="18.75" customHeight="1">
      <c r="A525" s="43" t="s">
        <v>170</v>
      </c>
      <c r="B525" s="8" t="s">
        <v>147</v>
      </c>
      <c r="C525" s="44" t="s">
        <v>179</v>
      </c>
      <c r="D525" s="8" t="s">
        <v>169</v>
      </c>
      <c r="E525" s="54">
        <f>E526</f>
        <v>1922.1</v>
      </c>
      <c r="F525" s="54"/>
      <c r="G525" s="54">
        <f>G526</f>
        <v>1922.1</v>
      </c>
      <c r="H525" s="54"/>
      <c r="I525" s="120"/>
    </row>
    <row r="526" spans="1:9" s="1" customFormat="1" ht="30" customHeight="1">
      <c r="A526" s="55" t="s">
        <v>172</v>
      </c>
      <c r="B526" s="36" t="s">
        <v>147</v>
      </c>
      <c r="C526" s="44" t="s">
        <v>179</v>
      </c>
      <c r="D526" s="36" t="s">
        <v>171</v>
      </c>
      <c r="E526" s="37">
        <f>2267.5-332-13.4</f>
        <v>1922.1</v>
      </c>
      <c r="F526" s="37"/>
      <c r="G526" s="37">
        <v>1922.1</v>
      </c>
      <c r="H526" s="37"/>
      <c r="I526" s="120"/>
    </row>
    <row r="527" spans="1:9" s="1" customFormat="1" ht="19.5" customHeight="1">
      <c r="A527" s="43" t="s">
        <v>174</v>
      </c>
      <c r="B527" s="36" t="s">
        <v>147</v>
      </c>
      <c r="C527" s="44" t="s">
        <v>179</v>
      </c>
      <c r="D527" s="8" t="s">
        <v>173</v>
      </c>
      <c r="E527" s="54">
        <f>E528</f>
        <v>20</v>
      </c>
      <c r="F527" s="54"/>
      <c r="G527" s="54">
        <f>G528</f>
        <v>20</v>
      </c>
      <c r="H527" s="54"/>
      <c r="I527" s="120"/>
    </row>
    <row r="528" spans="1:9" s="1" customFormat="1" ht="19.5" customHeight="1">
      <c r="A528" s="55" t="s">
        <v>324</v>
      </c>
      <c r="B528" s="36" t="s">
        <v>147</v>
      </c>
      <c r="C528" s="44" t="s">
        <v>179</v>
      </c>
      <c r="D528" s="8" t="s">
        <v>323</v>
      </c>
      <c r="E528" s="54">
        <f>20</f>
        <v>20</v>
      </c>
      <c r="F528" s="54"/>
      <c r="G528" s="54">
        <v>20</v>
      </c>
      <c r="H528" s="54"/>
      <c r="I528" s="120"/>
    </row>
    <row r="529" spans="1:9" s="1" customFormat="1" ht="32.25" customHeight="1">
      <c r="A529" s="55" t="s">
        <v>206</v>
      </c>
      <c r="B529" s="36" t="s">
        <v>147</v>
      </c>
      <c r="C529" s="44" t="s">
        <v>207</v>
      </c>
      <c r="D529" s="36"/>
      <c r="E529" s="37">
        <f>E530</f>
        <v>505</v>
      </c>
      <c r="F529" s="54"/>
      <c r="G529" s="37">
        <f>G530</f>
        <v>505</v>
      </c>
      <c r="H529" s="54"/>
      <c r="I529" s="120"/>
    </row>
    <row r="530" spans="1:9" s="1" customFormat="1" ht="24.75" customHeight="1">
      <c r="A530" s="55" t="s">
        <v>170</v>
      </c>
      <c r="B530" s="36" t="s">
        <v>147</v>
      </c>
      <c r="C530" s="44" t="s">
        <v>207</v>
      </c>
      <c r="D530" s="36" t="s">
        <v>169</v>
      </c>
      <c r="E530" s="37">
        <f>E531</f>
        <v>505</v>
      </c>
      <c r="F530" s="54"/>
      <c r="G530" s="37">
        <f>G531</f>
        <v>505</v>
      </c>
      <c r="H530" s="54"/>
      <c r="I530" s="120"/>
    </row>
    <row r="531" spans="1:9" s="1" customFormat="1" ht="31.5" customHeight="1">
      <c r="A531" s="55" t="s">
        <v>172</v>
      </c>
      <c r="B531" s="36" t="s">
        <v>147</v>
      </c>
      <c r="C531" s="44" t="s">
        <v>207</v>
      </c>
      <c r="D531" s="36" t="s">
        <v>171</v>
      </c>
      <c r="E531" s="37">
        <f>500+252-247</f>
        <v>505</v>
      </c>
      <c r="F531" s="54"/>
      <c r="G531" s="37">
        <v>505</v>
      </c>
      <c r="H531" s="54"/>
      <c r="I531" s="120"/>
    </row>
    <row r="532" spans="1:9" s="1" customFormat="1" ht="30" customHeight="1">
      <c r="A532" s="55" t="s">
        <v>208</v>
      </c>
      <c r="B532" s="36" t="s">
        <v>147</v>
      </c>
      <c r="C532" s="44" t="s">
        <v>180</v>
      </c>
      <c r="D532" s="36"/>
      <c r="E532" s="37">
        <f>E533</f>
        <v>1000</v>
      </c>
      <c r="F532" s="54"/>
      <c r="G532" s="37">
        <f>G533</f>
        <v>1000</v>
      </c>
      <c r="H532" s="54"/>
      <c r="I532" s="120"/>
    </row>
    <row r="533" spans="1:9" s="1" customFormat="1" ht="20.25" customHeight="1">
      <c r="A533" s="55" t="s">
        <v>174</v>
      </c>
      <c r="B533" s="36" t="s">
        <v>147</v>
      </c>
      <c r="C533" s="44" t="s">
        <v>180</v>
      </c>
      <c r="D533" s="36" t="s">
        <v>173</v>
      </c>
      <c r="E533" s="37">
        <f>E534</f>
        <v>1000</v>
      </c>
      <c r="F533" s="37"/>
      <c r="G533" s="37">
        <f>G534</f>
        <v>1000</v>
      </c>
      <c r="H533" s="37"/>
      <c r="I533" s="120"/>
    </row>
    <row r="534" spans="1:9" s="1" customFormat="1" ht="48.75" customHeight="1">
      <c r="A534" s="39" t="s">
        <v>286</v>
      </c>
      <c r="B534" s="36" t="s">
        <v>147</v>
      </c>
      <c r="C534" s="44" t="s">
        <v>180</v>
      </c>
      <c r="D534" s="36" t="s">
        <v>48</v>
      </c>
      <c r="E534" s="37">
        <f>1000</f>
        <v>1000</v>
      </c>
      <c r="F534" s="37"/>
      <c r="G534" s="37">
        <v>1000</v>
      </c>
      <c r="H534" s="37"/>
      <c r="I534" s="120"/>
    </row>
    <row r="535" spans="1:9" s="1" customFormat="1" ht="63.75" customHeight="1">
      <c r="A535" s="39" t="s">
        <v>521</v>
      </c>
      <c r="B535" s="36" t="s">
        <v>147</v>
      </c>
      <c r="C535" s="44" t="s">
        <v>463</v>
      </c>
      <c r="D535" s="36"/>
      <c r="E535" s="37">
        <f>E536</f>
        <v>1684.3</v>
      </c>
      <c r="F535" s="37"/>
      <c r="G535" s="37">
        <f>G536</f>
        <v>1684.3</v>
      </c>
      <c r="H535" s="37"/>
      <c r="I535" s="120"/>
    </row>
    <row r="536" spans="1:9" s="1" customFormat="1" ht="33" customHeight="1">
      <c r="A536" s="39" t="s">
        <v>464</v>
      </c>
      <c r="B536" s="36" t="s">
        <v>147</v>
      </c>
      <c r="C536" s="44" t="s">
        <v>463</v>
      </c>
      <c r="D536" s="36"/>
      <c r="E536" s="37">
        <f>E537</f>
        <v>1684.3</v>
      </c>
      <c r="F536" s="37"/>
      <c r="G536" s="37">
        <f>G537</f>
        <v>1684.3</v>
      </c>
      <c r="H536" s="37"/>
      <c r="I536" s="120"/>
    </row>
    <row r="537" spans="1:9" s="1" customFormat="1" ht="30.75" customHeight="1">
      <c r="A537" s="57" t="s">
        <v>328</v>
      </c>
      <c r="B537" s="36" t="s">
        <v>147</v>
      </c>
      <c r="C537" s="44" t="s">
        <v>463</v>
      </c>
      <c r="D537" s="36" t="s">
        <v>327</v>
      </c>
      <c r="E537" s="37">
        <f>E538</f>
        <v>1684.3</v>
      </c>
      <c r="F537" s="37"/>
      <c r="G537" s="37">
        <f>G538</f>
        <v>1684.3</v>
      </c>
      <c r="H537" s="37"/>
      <c r="I537" s="120"/>
    </row>
    <row r="538" spans="1:9" s="1" customFormat="1" ht="36" customHeight="1">
      <c r="A538" s="70" t="s">
        <v>47</v>
      </c>
      <c r="B538" s="36" t="s">
        <v>147</v>
      </c>
      <c r="C538" s="44" t="s">
        <v>463</v>
      </c>
      <c r="D538" s="36" t="s">
        <v>83</v>
      </c>
      <c r="E538" s="37">
        <f>1499.7+184.6</f>
        <v>1684.3</v>
      </c>
      <c r="F538" s="37"/>
      <c r="G538" s="37">
        <v>1684.3</v>
      </c>
      <c r="H538" s="37"/>
      <c r="I538" s="120"/>
    </row>
    <row r="539" spans="1:9" s="1" customFormat="1" ht="45.75" customHeight="1">
      <c r="A539" s="55" t="s">
        <v>280</v>
      </c>
      <c r="B539" s="36" t="s">
        <v>147</v>
      </c>
      <c r="C539" s="44" t="s">
        <v>314</v>
      </c>
      <c r="D539" s="36"/>
      <c r="E539" s="37">
        <f>E540</f>
        <v>2658.6</v>
      </c>
      <c r="F539" s="37"/>
      <c r="G539" s="37">
        <f>G540</f>
        <v>2648.5</v>
      </c>
      <c r="H539" s="37"/>
      <c r="I539" s="120"/>
    </row>
    <row r="540" spans="1:9" s="1" customFormat="1" ht="20.25" customHeight="1">
      <c r="A540" s="55" t="s">
        <v>170</v>
      </c>
      <c r="B540" s="36" t="s">
        <v>147</v>
      </c>
      <c r="C540" s="44" t="s">
        <v>314</v>
      </c>
      <c r="D540" s="36" t="s">
        <v>169</v>
      </c>
      <c r="E540" s="37">
        <f>E541</f>
        <v>2658.6</v>
      </c>
      <c r="F540" s="37"/>
      <c r="G540" s="37">
        <f>G541</f>
        <v>2648.5</v>
      </c>
      <c r="H540" s="37"/>
      <c r="I540" s="120"/>
    </row>
    <row r="541" spans="1:9" s="1" customFormat="1" ht="33" customHeight="1">
      <c r="A541" s="55" t="s">
        <v>172</v>
      </c>
      <c r="B541" s="36" t="s">
        <v>147</v>
      </c>
      <c r="C541" s="44" t="s">
        <v>314</v>
      </c>
      <c r="D541" s="36" t="s">
        <v>171</v>
      </c>
      <c r="E541" s="37">
        <f>3044.5-286.6-99.3</f>
        <v>2658.6</v>
      </c>
      <c r="F541" s="37"/>
      <c r="G541" s="37">
        <v>2648.5</v>
      </c>
      <c r="H541" s="37"/>
      <c r="I541" s="120"/>
    </row>
    <row r="542" spans="1:9" s="1" customFormat="1" ht="75.75" customHeight="1">
      <c r="A542" s="43" t="s">
        <v>535</v>
      </c>
      <c r="B542" s="36" t="s">
        <v>147</v>
      </c>
      <c r="C542" s="45" t="s">
        <v>534</v>
      </c>
      <c r="D542" s="36"/>
      <c r="E542" s="37">
        <f>E543</f>
        <v>48</v>
      </c>
      <c r="F542" s="37"/>
      <c r="G542" s="37">
        <f>G543</f>
        <v>48</v>
      </c>
      <c r="H542" s="37"/>
      <c r="I542" s="120"/>
    </row>
    <row r="543" spans="1:9" s="1" customFormat="1" ht="33" customHeight="1">
      <c r="A543" s="57" t="s">
        <v>328</v>
      </c>
      <c r="B543" s="36" t="s">
        <v>147</v>
      </c>
      <c r="C543" s="45" t="s">
        <v>534</v>
      </c>
      <c r="D543" s="36" t="s">
        <v>327</v>
      </c>
      <c r="E543" s="37">
        <f>E544</f>
        <v>48</v>
      </c>
      <c r="F543" s="37"/>
      <c r="G543" s="37">
        <f>G544</f>
        <v>48</v>
      </c>
      <c r="H543" s="37"/>
      <c r="I543" s="120"/>
    </row>
    <row r="544" spans="1:9" s="1" customFormat="1" ht="33" customHeight="1">
      <c r="A544" s="70" t="s">
        <v>47</v>
      </c>
      <c r="B544" s="36" t="s">
        <v>147</v>
      </c>
      <c r="C544" s="45" t="s">
        <v>534</v>
      </c>
      <c r="D544" s="36" t="s">
        <v>83</v>
      </c>
      <c r="E544" s="37">
        <v>48</v>
      </c>
      <c r="F544" s="37"/>
      <c r="G544" s="37">
        <v>48</v>
      </c>
      <c r="H544" s="37"/>
      <c r="I544" s="120"/>
    </row>
    <row r="545" spans="1:9" s="1" customFormat="1" ht="107.25" customHeight="1">
      <c r="A545" s="43" t="s">
        <v>532</v>
      </c>
      <c r="B545" s="36" t="s">
        <v>147</v>
      </c>
      <c r="C545" s="45" t="s">
        <v>533</v>
      </c>
      <c r="D545" s="36"/>
      <c r="E545" s="37">
        <f>E546</f>
        <v>10000</v>
      </c>
      <c r="F545" s="37"/>
      <c r="G545" s="37">
        <f>G546</f>
        <v>10000</v>
      </c>
      <c r="H545" s="37"/>
      <c r="I545" s="120"/>
    </row>
    <row r="546" spans="1:9" s="1" customFormat="1" ht="19.5" customHeight="1">
      <c r="A546" s="55" t="s">
        <v>174</v>
      </c>
      <c r="B546" s="36" t="s">
        <v>147</v>
      </c>
      <c r="C546" s="45" t="s">
        <v>533</v>
      </c>
      <c r="D546" s="36" t="s">
        <v>173</v>
      </c>
      <c r="E546" s="37">
        <f>E547</f>
        <v>10000</v>
      </c>
      <c r="F546" s="37"/>
      <c r="G546" s="37">
        <f>G547</f>
        <v>10000</v>
      </c>
      <c r="H546" s="37"/>
      <c r="I546" s="120"/>
    </row>
    <row r="547" spans="1:9" s="1" customFormat="1" ht="47.25" customHeight="1">
      <c r="A547" s="39" t="s">
        <v>286</v>
      </c>
      <c r="B547" s="36" t="s">
        <v>147</v>
      </c>
      <c r="C547" s="45" t="s">
        <v>533</v>
      </c>
      <c r="D547" s="36" t="s">
        <v>48</v>
      </c>
      <c r="E547" s="37">
        <f>5000+5000</f>
        <v>10000</v>
      </c>
      <c r="F547" s="37"/>
      <c r="G547" s="37">
        <v>10000</v>
      </c>
      <c r="H547" s="37"/>
      <c r="I547" s="120"/>
    </row>
    <row r="548" spans="1:9" s="1" customFormat="1" ht="20.25" customHeight="1">
      <c r="A548" s="33" t="s">
        <v>238</v>
      </c>
      <c r="B548" s="36" t="s">
        <v>147</v>
      </c>
      <c r="C548" s="35" t="s">
        <v>20</v>
      </c>
      <c r="D548" s="36"/>
      <c r="E548" s="37">
        <f>E549</f>
        <v>22467.399999999998</v>
      </c>
      <c r="F548" s="37">
        <f>F549</f>
        <v>5315</v>
      </c>
      <c r="G548" s="37">
        <f>G549</f>
        <v>22286.600000000002</v>
      </c>
      <c r="H548" s="37">
        <f>H549</f>
        <v>5134.2</v>
      </c>
      <c r="I548" s="120"/>
    </row>
    <row r="549" spans="1:9" s="1" customFormat="1" ht="23.25" customHeight="1">
      <c r="A549" s="38" t="s">
        <v>41</v>
      </c>
      <c r="B549" s="36" t="s">
        <v>147</v>
      </c>
      <c r="C549" s="36" t="s">
        <v>21</v>
      </c>
      <c r="D549" s="36"/>
      <c r="E549" s="37">
        <f>E558+E550+E553</f>
        <v>22467.399999999998</v>
      </c>
      <c r="F549" s="37">
        <f>F558+F550+F553</f>
        <v>5315</v>
      </c>
      <c r="G549" s="37">
        <f>G558+G550+G553</f>
        <v>22286.600000000002</v>
      </c>
      <c r="H549" s="37">
        <f>H558+H550+H553</f>
        <v>5134.2</v>
      </c>
      <c r="I549" s="120"/>
    </row>
    <row r="550" spans="1:9" s="1" customFormat="1" ht="90" customHeight="1">
      <c r="A550" s="43" t="s">
        <v>273</v>
      </c>
      <c r="B550" s="44" t="s">
        <v>147</v>
      </c>
      <c r="C550" s="44" t="s">
        <v>417</v>
      </c>
      <c r="D550" s="44"/>
      <c r="E550" s="37">
        <f aca="true" t="shared" si="20" ref="E550:H551">E551</f>
        <v>3543</v>
      </c>
      <c r="F550" s="37">
        <f t="shared" si="20"/>
        <v>3543</v>
      </c>
      <c r="G550" s="37">
        <f t="shared" si="20"/>
        <v>3543</v>
      </c>
      <c r="H550" s="37">
        <f t="shared" si="20"/>
        <v>3543</v>
      </c>
      <c r="I550" s="120"/>
    </row>
    <row r="551" spans="1:9" s="1" customFormat="1" ht="60.75" customHeight="1">
      <c r="A551" s="43" t="s">
        <v>320</v>
      </c>
      <c r="B551" s="44" t="s">
        <v>147</v>
      </c>
      <c r="C551" s="44" t="s">
        <v>417</v>
      </c>
      <c r="D551" s="44" t="s">
        <v>175</v>
      </c>
      <c r="E551" s="37">
        <f t="shared" si="20"/>
        <v>3543</v>
      </c>
      <c r="F551" s="37">
        <f t="shared" si="20"/>
        <v>3543</v>
      </c>
      <c r="G551" s="37">
        <f t="shared" si="20"/>
        <v>3543</v>
      </c>
      <c r="H551" s="37">
        <f t="shared" si="20"/>
        <v>3543</v>
      </c>
      <c r="I551" s="120"/>
    </row>
    <row r="552" spans="1:9" s="1" customFormat="1" ht="23.25" customHeight="1">
      <c r="A552" s="55" t="s">
        <v>168</v>
      </c>
      <c r="B552" s="44" t="s">
        <v>147</v>
      </c>
      <c r="C552" s="44" t="s">
        <v>417</v>
      </c>
      <c r="D552" s="44" t="s">
        <v>167</v>
      </c>
      <c r="E552" s="37">
        <f>3275+268</f>
        <v>3543</v>
      </c>
      <c r="F552" s="37">
        <f>E552</f>
        <v>3543</v>
      </c>
      <c r="G552" s="37">
        <v>3543</v>
      </c>
      <c r="H552" s="37">
        <f>G552</f>
        <v>3543</v>
      </c>
      <c r="I552" s="120"/>
    </row>
    <row r="553" spans="1:9" s="1" customFormat="1" ht="183" customHeight="1">
      <c r="A553" s="43" t="s">
        <v>638</v>
      </c>
      <c r="B553" s="44" t="s">
        <v>147</v>
      </c>
      <c r="C553" s="44" t="s">
        <v>639</v>
      </c>
      <c r="D553" s="44"/>
      <c r="E553" s="37">
        <f>E554+E556</f>
        <v>1772</v>
      </c>
      <c r="F553" s="37">
        <f>F554+F556</f>
        <v>1772</v>
      </c>
      <c r="G553" s="37">
        <f>G554+G556</f>
        <v>1591.2</v>
      </c>
      <c r="H553" s="37">
        <f>H554+H556</f>
        <v>1591.2</v>
      </c>
      <c r="I553" s="120"/>
    </row>
    <row r="554" spans="1:9" s="1" customFormat="1" ht="68.25" customHeight="1">
      <c r="A554" s="43" t="s">
        <v>320</v>
      </c>
      <c r="B554" s="44" t="s">
        <v>147</v>
      </c>
      <c r="C554" s="44" t="s">
        <v>639</v>
      </c>
      <c r="D554" s="44" t="s">
        <v>175</v>
      </c>
      <c r="E554" s="37">
        <f>E555</f>
        <v>1196.4</v>
      </c>
      <c r="F554" s="37">
        <f>F555</f>
        <v>1196.4</v>
      </c>
      <c r="G554" s="37">
        <f>G555</f>
        <v>1195.2</v>
      </c>
      <c r="H554" s="37">
        <f>H555</f>
        <v>1195.2</v>
      </c>
      <c r="I554" s="120"/>
    </row>
    <row r="555" spans="1:9" s="1" customFormat="1" ht="23.25" customHeight="1">
      <c r="A555" s="55" t="s">
        <v>168</v>
      </c>
      <c r="B555" s="44" t="s">
        <v>147</v>
      </c>
      <c r="C555" s="44" t="s">
        <v>639</v>
      </c>
      <c r="D555" s="44" t="s">
        <v>167</v>
      </c>
      <c r="E555" s="37">
        <f>1772-297-278.6</f>
        <v>1196.4</v>
      </c>
      <c r="F555" s="37">
        <f>E555</f>
        <v>1196.4</v>
      </c>
      <c r="G555" s="37">
        <v>1195.2</v>
      </c>
      <c r="H555" s="37">
        <f>G555</f>
        <v>1195.2</v>
      </c>
      <c r="I555" s="120"/>
    </row>
    <row r="556" spans="1:9" s="1" customFormat="1" ht="23.25" customHeight="1">
      <c r="A556" s="55" t="s">
        <v>170</v>
      </c>
      <c r="B556" s="44" t="s">
        <v>147</v>
      </c>
      <c r="C556" s="44" t="s">
        <v>639</v>
      </c>
      <c r="D556" s="44" t="s">
        <v>169</v>
      </c>
      <c r="E556" s="37">
        <f>E557</f>
        <v>575.6</v>
      </c>
      <c r="F556" s="37">
        <f>F557</f>
        <v>575.6</v>
      </c>
      <c r="G556" s="37">
        <f>G557</f>
        <v>396</v>
      </c>
      <c r="H556" s="37">
        <f>H557</f>
        <v>396</v>
      </c>
      <c r="I556" s="120"/>
    </row>
    <row r="557" spans="1:9" s="1" customFormat="1" ht="28.5" customHeight="1">
      <c r="A557" s="55" t="s">
        <v>172</v>
      </c>
      <c r="B557" s="44" t="s">
        <v>147</v>
      </c>
      <c r="C557" s="44" t="s">
        <v>639</v>
      </c>
      <c r="D557" s="44" t="s">
        <v>171</v>
      </c>
      <c r="E557" s="37">
        <f>297+278.6</f>
        <v>575.6</v>
      </c>
      <c r="F557" s="37">
        <f>E557</f>
        <v>575.6</v>
      </c>
      <c r="G557" s="37">
        <v>396</v>
      </c>
      <c r="H557" s="37">
        <f>G557</f>
        <v>396</v>
      </c>
      <c r="I557" s="120"/>
    </row>
    <row r="558" spans="1:9" s="1" customFormat="1" ht="21.75" customHeight="1">
      <c r="A558" s="33" t="s">
        <v>252</v>
      </c>
      <c r="B558" s="36" t="s">
        <v>147</v>
      </c>
      <c r="C558" s="36" t="s">
        <v>193</v>
      </c>
      <c r="D558" s="36"/>
      <c r="E558" s="37">
        <f>E559</f>
        <v>17152.399999999998</v>
      </c>
      <c r="F558" s="10"/>
      <c r="G558" s="37">
        <f>G559</f>
        <v>17152.4</v>
      </c>
      <c r="H558" s="10"/>
      <c r="I558" s="120"/>
    </row>
    <row r="559" spans="1:9" s="1" customFormat="1" ht="33" customHeight="1">
      <c r="A559" s="33" t="s">
        <v>328</v>
      </c>
      <c r="B559" s="36" t="s">
        <v>147</v>
      </c>
      <c r="C559" s="36" t="s">
        <v>193</v>
      </c>
      <c r="D559" s="36" t="s">
        <v>327</v>
      </c>
      <c r="E559" s="37">
        <f>E560</f>
        <v>17152.399999999998</v>
      </c>
      <c r="F559" s="10"/>
      <c r="G559" s="37">
        <f>G560</f>
        <v>17152.4</v>
      </c>
      <c r="H559" s="10"/>
      <c r="I559" s="120"/>
    </row>
    <row r="560" spans="1:9" s="1" customFormat="1" ht="23.25" customHeight="1">
      <c r="A560" s="39" t="s">
        <v>326</v>
      </c>
      <c r="B560" s="8" t="s">
        <v>147</v>
      </c>
      <c r="C560" s="36" t="s">
        <v>193</v>
      </c>
      <c r="D560" s="8" t="s">
        <v>325</v>
      </c>
      <c r="E560" s="54">
        <f>16259.5+47.6+150+33.8+361.5+300</f>
        <v>17152.399999999998</v>
      </c>
      <c r="F560" s="10"/>
      <c r="G560" s="54">
        <v>17152.4</v>
      </c>
      <c r="H560" s="10"/>
      <c r="I560" s="120"/>
    </row>
    <row r="561" spans="1:9" s="1" customFormat="1" ht="45.75" customHeight="1">
      <c r="A561" s="43" t="s">
        <v>10</v>
      </c>
      <c r="B561" s="45" t="s">
        <v>147</v>
      </c>
      <c r="C561" s="45" t="s">
        <v>34</v>
      </c>
      <c r="D561" s="45"/>
      <c r="E561" s="50">
        <f>E562+E569</f>
        <v>11274.999999999998</v>
      </c>
      <c r="F561" s="50"/>
      <c r="G561" s="50">
        <f>G562+G569</f>
        <v>10961.5</v>
      </c>
      <c r="H561" s="50"/>
      <c r="I561" s="120"/>
    </row>
    <row r="562" spans="1:9" s="1" customFormat="1" ht="44.25" customHeight="1">
      <c r="A562" s="33" t="s">
        <v>283</v>
      </c>
      <c r="B562" s="8" t="s">
        <v>147</v>
      </c>
      <c r="C562" s="36" t="s">
        <v>196</v>
      </c>
      <c r="D562" s="8"/>
      <c r="E562" s="54">
        <f>E563+E565+E567</f>
        <v>9774.999999999998</v>
      </c>
      <c r="F562" s="54"/>
      <c r="G562" s="54">
        <f>G563+G565+G567</f>
        <v>9761.5</v>
      </c>
      <c r="H562" s="54"/>
      <c r="I562" s="120"/>
    </row>
    <row r="563" spans="1:9" s="1" customFormat="1" ht="59.25" customHeight="1">
      <c r="A563" s="53" t="s">
        <v>320</v>
      </c>
      <c r="B563" s="36" t="s">
        <v>147</v>
      </c>
      <c r="C563" s="36" t="s">
        <v>196</v>
      </c>
      <c r="D563" s="36" t="s">
        <v>175</v>
      </c>
      <c r="E563" s="47">
        <f>E564</f>
        <v>9100.9</v>
      </c>
      <c r="F563" s="37"/>
      <c r="G563" s="47">
        <f>G564</f>
        <v>9088.3</v>
      </c>
      <c r="H563" s="37"/>
      <c r="I563" s="120"/>
    </row>
    <row r="564" spans="1:9" s="1" customFormat="1" ht="24" customHeight="1">
      <c r="A564" s="53" t="s">
        <v>322</v>
      </c>
      <c r="B564" s="8" t="s">
        <v>147</v>
      </c>
      <c r="C564" s="36" t="s">
        <v>196</v>
      </c>
      <c r="D564" s="8" t="s">
        <v>321</v>
      </c>
      <c r="E564" s="54">
        <f>8756.4+185.5+122+37</f>
        <v>9100.9</v>
      </c>
      <c r="F564" s="54"/>
      <c r="G564" s="54">
        <v>9088.3</v>
      </c>
      <c r="H564" s="54"/>
      <c r="I564" s="120"/>
    </row>
    <row r="565" spans="1:9" s="1" customFormat="1" ht="24.75" customHeight="1">
      <c r="A565" s="55" t="s">
        <v>170</v>
      </c>
      <c r="B565" s="36" t="s">
        <v>147</v>
      </c>
      <c r="C565" s="36" t="s">
        <v>196</v>
      </c>
      <c r="D565" s="8" t="s">
        <v>169</v>
      </c>
      <c r="E565" s="54">
        <f>E566</f>
        <v>672.3</v>
      </c>
      <c r="F565" s="54"/>
      <c r="G565" s="54">
        <f>G566</f>
        <v>671.5</v>
      </c>
      <c r="H565" s="54"/>
      <c r="I565" s="120"/>
    </row>
    <row r="566" spans="1:9" s="1" customFormat="1" ht="31.5" customHeight="1">
      <c r="A566" s="55" t="s">
        <v>172</v>
      </c>
      <c r="B566" s="8" t="s">
        <v>147</v>
      </c>
      <c r="C566" s="36" t="s">
        <v>196</v>
      </c>
      <c r="D566" s="8" t="s">
        <v>171</v>
      </c>
      <c r="E566" s="54">
        <f>794.3-122</f>
        <v>672.3</v>
      </c>
      <c r="F566" s="54"/>
      <c r="G566" s="54">
        <v>671.5</v>
      </c>
      <c r="H566" s="54"/>
      <c r="I566" s="120"/>
    </row>
    <row r="567" spans="1:9" s="1" customFormat="1" ht="21" customHeight="1">
      <c r="A567" s="43" t="s">
        <v>174</v>
      </c>
      <c r="B567" s="8" t="s">
        <v>147</v>
      </c>
      <c r="C567" s="36" t="s">
        <v>196</v>
      </c>
      <c r="D567" s="8" t="s">
        <v>173</v>
      </c>
      <c r="E567" s="54">
        <f>E568</f>
        <v>1.7999999999999972</v>
      </c>
      <c r="F567" s="54"/>
      <c r="G567" s="54">
        <f>G568</f>
        <v>1.7</v>
      </c>
      <c r="H567" s="54"/>
      <c r="I567" s="120"/>
    </row>
    <row r="568" spans="1:9" s="1" customFormat="1" ht="21.75" customHeight="1">
      <c r="A568" s="55" t="s">
        <v>324</v>
      </c>
      <c r="B568" s="8" t="s">
        <v>147</v>
      </c>
      <c r="C568" s="36" t="s">
        <v>196</v>
      </c>
      <c r="D568" s="8" t="s">
        <v>323</v>
      </c>
      <c r="E568" s="54">
        <f>38.8-37</f>
        <v>1.7999999999999972</v>
      </c>
      <c r="F568" s="54"/>
      <c r="G568" s="54">
        <v>1.7</v>
      </c>
      <c r="H568" s="54"/>
      <c r="I568" s="120"/>
    </row>
    <row r="569" spans="1:9" s="1" customFormat="1" ht="21.75" customHeight="1">
      <c r="A569" s="39" t="s">
        <v>244</v>
      </c>
      <c r="B569" s="44" t="s">
        <v>147</v>
      </c>
      <c r="C569" s="36" t="s">
        <v>245</v>
      </c>
      <c r="D569" s="112"/>
      <c r="E569" s="54">
        <f>E570</f>
        <v>1500</v>
      </c>
      <c r="F569" s="54"/>
      <c r="G569" s="54">
        <f>G570</f>
        <v>1200</v>
      </c>
      <c r="H569" s="54"/>
      <c r="I569" s="120"/>
    </row>
    <row r="570" spans="1:9" s="1" customFormat="1" ht="21.75" customHeight="1">
      <c r="A570" s="55" t="s">
        <v>170</v>
      </c>
      <c r="B570" s="44" t="s">
        <v>147</v>
      </c>
      <c r="C570" s="36" t="s">
        <v>245</v>
      </c>
      <c r="D570" s="44" t="s">
        <v>169</v>
      </c>
      <c r="E570" s="54">
        <f>E571</f>
        <v>1500</v>
      </c>
      <c r="F570" s="54"/>
      <c r="G570" s="54">
        <f>G571</f>
        <v>1200</v>
      </c>
      <c r="H570" s="54"/>
      <c r="I570" s="120"/>
    </row>
    <row r="571" spans="1:9" s="1" customFormat="1" ht="31.5" customHeight="1">
      <c r="A571" s="55" t="s">
        <v>172</v>
      </c>
      <c r="B571" s="44" t="s">
        <v>147</v>
      </c>
      <c r="C571" s="36" t="s">
        <v>245</v>
      </c>
      <c r="D571" s="44" t="s">
        <v>171</v>
      </c>
      <c r="E571" s="54">
        <f>1500</f>
        <v>1500</v>
      </c>
      <c r="F571" s="54"/>
      <c r="G571" s="54">
        <v>1200</v>
      </c>
      <c r="H571" s="54"/>
      <c r="I571" s="120"/>
    </row>
    <row r="572" spans="1:9" s="1" customFormat="1" ht="45.75" customHeight="1">
      <c r="A572" s="55" t="s">
        <v>451</v>
      </c>
      <c r="B572" s="44" t="s">
        <v>147</v>
      </c>
      <c r="C572" s="44" t="s">
        <v>450</v>
      </c>
      <c r="D572" s="44"/>
      <c r="E572" s="54">
        <f>E573</f>
        <v>7100.8</v>
      </c>
      <c r="F572" s="54"/>
      <c r="G572" s="54">
        <f>G573</f>
        <v>6462.5</v>
      </c>
      <c r="H572" s="54"/>
      <c r="I572" s="120"/>
    </row>
    <row r="573" spans="1:9" s="1" customFormat="1" ht="45.75" customHeight="1">
      <c r="A573" s="55" t="s">
        <v>476</v>
      </c>
      <c r="B573" s="44" t="s">
        <v>147</v>
      </c>
      <c r="C573" s="44" t="s">
        <v>450</v>
      </c>
      <c r="D573" s="44"/>
      <c r="E573" s="54">
        <f>E574</f>
        <v>7100.8</v>
      </c>
      <c r="F573" s="54"/>
      <c r="G573" s="54">
        <f>G574</f>
        <v>6462.5</v>
      </c>
      <c r="H573" s="54"/>
      <c r="I573" s="120"/>
    </row>
    <row r="574" spans="1:9" s="1" customFormat="1" ht="31.5" customHeight="1">
      <c r="A574" s="55" t="s">
        <v>504</v>
      </c>
      <c r="B574" s="44" t="s">
        <v>147</v>
      </c>
      <c r="C574" s="44" t="s">
        <v>450</v>
      </c>
      <c r="D574" s="44"/>
      <c r="E574" s="54">
        <f>E575</f>
        <v>7100.8</v>
      </c>
      <c r="F574" s="54"/>
      <c r="G574" s="54">
        <f>G575</f>
        <v>6462.5</v>
      </c>
      <c r="H574" s="54"/>
      <c r="I574" s="120"/>
    </row>
    <row r="575" spans="1:9" s="1" customFormat="1" ht="30" customHeight="1">
      <c r="A575" s="43" t="s">
        <v>497</v>
      </c>
      <c r="B575" s="44" t="s">
        <v>147</v>
      </c>
      <c r="C575" s="44" t="s">
        <v>465</v>
      </c>
      <c r="D575" s="44"/>
      <c r="E575" s="37">
        <f>E576</f>
        <v>7100.8</v>
      </c>
      <c r="F575" s="54"/>
      <c r="G575" s="37">
        <f>G576</f>
        <v>6462.5</v>
      </c>
      <c r="H575" s="54"/>
      <c r="I575" s="120"/>
    </row>
    <row r="576" spans="1:9" s="1" customFormat="1" ht="22.5" customHeight="1">
      <c r="A576" s="55" t="s">
        <v>170</v>
      </c>
      <c r="B576" s="44" t="s">
        <v>147</v>
      </c>
      <c r="C576" s="44" t="s">
        <v>465</v>
      </c>
      <c r="D576" s="44" t="s">
        <v>169</v>
      </c>
      <c r="E576" s="37">
        <f>E577</f>
        <v>7100.8</v>
      </c>
      <c r="F576" s="54"/>
      <c r="G576" s="37">
        <f>G577</f>
        <v>6462.5</v>
      </c>
      <c r="H576" s="54"/>
      <c r="I576" s="120"/>
    </row>
    <row r="577" spans="1:9" s="1" customFormat="1" ht="33" customHeight="1">
      <c r="A577" s="55" t="s">
        <v>172</v>
      </c>
      <c r="B577" s="44" t="s">
        <v>147</v>
      </c>
      <c r="C577" s="44" t="s">
        <v>465</v>
      </c>
      <c r="D577" s="44" t="s">
        <v>171</v>
      </c>
      <c r="E577" s="37">
        <f>7191.2-130.4+40</f>
        <v>7100.8</v>
      </c>
      <c r="F577" s="54"/>
      <c r="G577" s="37">
        <v>6462.5</v>
      </c>
      <c r="H577" s="54"/>
      <c r="I577" s="120"/>
    </row>
    <row r="578" spans="1:9" s="5" customFormat="1" ht="20.25" customHeight="1">
      <c r="A578" s="20" t="s">
        <v>97</v>
      </c>
      <c r="B578" s="17" t="s">
        <v>91</v>
      </c>
      <c r="C578" s="17"/>
      <c r="D578" s="17"/>
      <c r="E578" s="18">
        <f>E705+E595+E660+E579</f>
        <v>427729.7</v>
      </c>
      <c r="F578" s="18">
        <f>F705+F595+F660+F579</f>
        <v>148831.80000000002</v>
      </c>
      <c r="G578" s="18">
        <f>G705+G595+G660+G579</f>
        <v>360943.10000000003</v>
      </c>
      <c r="H578" s="18">
        <f>H705+H595+H660+H579</f>
        <v>95874.09999999999</v>
      </c>
      <c r="I578" s="16">
        <f>G578/E578*100</f>
        <v>84.38579317732672</v>
      </c>
    </row>
    <row r="579" spans="1:9" s="5" customFormat="1" ht="20.25" customHeight="1">
      <c r="A579" s="46" t="s">
        <v>282</v>
      </c>
      <c r="B579" s="59" t="s">
        <v>281</v>
      </c>
      <c r="C579" s="14"/>
      <c r="D579" s="14"/>
      <c r="E579" s="98">
        <f>E580+E591</f>
        <v>10350.2</v>
      </c>
      <c r="F579" s="98">
        <f>F580</f>
        <v>7154.2</v>
      </c>
      <c r="G579" s="98">
        <f>G580+G591</f>
        <v>9463.2</v>
      </c>
      <c r="H579" s="98">
        <f>H580</f>
        <v>6722.7</v>
      </c>
      <c r="I579" s="16">
        <f>G579/E579*100</f>
        <v>91.43011729241947</v>
      </c>
    </row>
    <row r="580" spans="1:9" s="5" customFormat="1" ht="33.75" customHeight="1">
      <c r="A580" s="43" t="s">
        <v>470</v>
      </c>
      <c r="B580" s="44" t="s">
        <v>281</v>
      </c>
      <c r="C580" s="8" t="s">
        <v>437</v>
      </c>
      <c r="D580" s="91"/>
      <c r="E580" s="92">
        <f>E581</f>
        <v>9050.2</v>
      </c>
      <c r="F580" s="92">
        <f>F581</f>
        <v>7154.2</v>
      </c>
      <c r="G580" s="92">
        <f>G581</f>
        <v>8163.2</v>
      </c>
      <c r="H580" s="92">
        <f>H581</f>
        <v>6722.7</v>
      </c>
      <c r="I580" s="119"/>
    </row>
    <row r="581" spans="1:9" s="5" customFormat="1" ht="60" customHeight="1">
      <c r="A581" s="43" t="s">
        <v>456</v>
      </c>
      <c r="B581" s="44" t="s">
        <v>281</v>
      </c>
      <c r="C581" s="8" t="s">
        <v>457</v>
      </c>
      <c r="D581" s="102"/>
      <c r="E581" s="92">
        <f>E586+E583+E588</f>
        <v>9050.2</v>
      </c>
      <c r="F581" s="92">
        <f>F586+F583+F588</f>
        <v>7154.2</v>
      </c>
      <c r="G581" s="92">
        <f>G586+G583+G588</f>
        <v>8163.2</v>
      </c>
      <c r="H581" s="92">
        <f>H586+H583+H588</f>
        <v>6722.7</v>
      </c>
      <c r="I581" s="119"/>
    </row>
    <row r="582" spans="1:9" s="5" customFormat="1" ht="21.75" customHeight="1">
      <c r="A582" s="43" t="s">
        <v>452</v>
      </c>
      <c r="B582" s="44" t="s">
        <v>281</v>
      </c>
      <c r="C582" s="8" t="s">
        <v>458</v>
      </c>
      <c r="D582" s="102"/>
      <c r="E582" s="103">
        <f aca="true" t="shared" si="21" ref="E582:H583">E583</f>
        <v>6879.2</v>
      </c>
      <c r="F582" s="103">
        <f t="shared" si="21"/>
        <v>6879.2</v>
      </c>
      <c r="G582" s="103">
        <f t="shared" si="21"/>
        <v>6447.7</v>
      </c>
      <c r="H582" s="103">
        <f t="shared" si="21"/>
        <v>6447.7</v>
      </c>
      <c r="I582" s="119"/>
    </row>
    <row r="583" spans="1:9" s="5" customFormat="1" ht="18" customHeight="1">
      <c r="A583" s="55" t="s">
        <v>174</v>
      </c>
      <c r="B583" s="44" t="s">
        <v>281</v>
      </c>
      <c r="C583" s="8" t="s">
        <v>458</v>
      </c>
      <c r="D583" s="102" t="s">
        <v>173</v>
      </c>
      <c r="E583" s="103">
        <f t="shared" si="21"/>
        <v>6879.2</v>
      </c>
      <c r="F583" s="103">
        <f t="shared" si="21"/>
        <v>6879.2</v>
      </c>
      <c r="G583" s="103">
        <f t="shared" si="21"/>
        <v>6447.7</v>
      </c>
      <c r="H583" s="103">
        <f t="shared" si="21"/>
        <v>6447.7</v>
      </c>
      <c r="I583" s="119"/>
    </row>
    <row r="584" spans="1:9" s="5" customFormat="1" ht="44.25" customHeight="1">
      <c r="A584" s="39" t="s">
        <v>286</v>
      </c>
      <c r="B584" s="44" t="s">
        <v>281</v>
      </c>
      <c r="C584" s="8" t="s">
        <v>458</v>
      </c>
      <c r="D584" s="102" t="s">
        <v>48</v>
      </c>
      <c r="E584" s="103">
        <f>3828.9-1740.4+4790.7</f>
        <v>6879.2</v>
      </c>
      <c r="F584" s="103">
        <f>E584</f>
        <v>6879.2</v>
      </c>
      <c r="G584" s="103">
        <v>6447.7</v>
      </c>
      <c r="H584" s="103">
        <f>G584</f>
        <v>6447.7</v>
      </c>
      <c r="I584" s="119"/>
    </row>
    <row r="585" spans="1:9" s="5" customFormat="1" ht="32.25" customHeight="1">
      <c r="A585" s="43" t="s">
        <v>284</v>
      </c>
      <c r="B585" s="44" t="s">
        <v>281</v>
      </c>
      <c r="C585" s="8" t="s">
        <v>458</v>
      </c>
      <c r="D585" s="8"/>
      <c r="E585" s="54">
        <f>E586</f>
        <v>1815.3000000000002</v>
      </c>
      <c r="F585" s="10"/>
      <c r="G585" s="54">
        <f>G586</f>
        <v>1360</v>
      </c>
      <c r="H585" s="10"/>
      <c r="I585" s="119"/>
    </row>
    <row r="586" spans="1:9" s="5" customFormat="1" ht="20.25" customHeight="1">
      <c r="A586" s="55" t="s">
        <v>174</v>
      </c>
      <c r="B586" s="44" t="s">
        <v>281</v>
      </c>
      <c r="C586" s="8" t="s">
        <v>458</v>
      </c>
      <c r="D586" s="8" t="s">
        <v>173</v>
      </c>
      <c r="E586" s="54">
        <f>E587</f>
        <v>1815.3000000000002</v>
      </c>
      <c r="F586" s="10"/>
      <c r="G586" s="54">
        <f>G587</f>
        <v>1360</v>
      </c>
      <c r="H586" s="10"/>
      <c r="I586" s="119"/>
    </row>
    <row r="587" spans="1:9" s="5" customFormat="1" ht="49.5" customHeight="1">
      <c r="A587" s="39" t="s">
        <v>286</v>
      </c>
      <c r="B587" s="44" t="s">
        <v>281</v>
      </c>
      <c r="C587" s="8" t="s">
        <v>458</v>
      </c>
      <c r="D587" s="8" t="s">
        <v>48</v>
      </c>
      <c r="E587" s="54">
        <f>3060-355.7-889</f>
        <v>1815.3000000000002</v>
      </c>
      <c r="F587" s="10"/>
      <c r="G587" s="54">
        <v>1360</v>
      </c>
      <c r="H587" s="10"/>
      <c r="I587" s="119"/>
    </row>
    <row r="588" spans="1:9" s="5" customFormat="1" ht="72.75" customHeight="1">
      <c r="A588" s="39" t="s">
        <v>748</v>
      </c>
      <c r="B588" s="44" t="s">
        <v>281</v>
      </c>
      <c r="C588" s="8" t="s">
        <v>747</v>
      </c>
      <c r="D588" s="8"/>
      <c r="E588" s="54">
        <f aca="true" t="shared" si="22" ref="E588:H589">E589</f>
        <v>355.7</v>
      </c>
      <c r="F588" s="54">
        <f t="shared" si="22"/>
        <v>275</v>
      </c>
      <c r="G588" s="54">
        <f t="shared" si="22"/>
        <v>355.5</v>
      </c>
      <c r="H588" s="54">
        <f t="shared" si="22"/>
        <v>275</v>
      </c>
      <c r="I588" s="119"/>
    </row>
    <row r="589" spans="1:9" s="5" customFormat="1" ht="22.5" customHeight="1">
      <c r="A589" s="55" t="s">
        <v>174</v>
      </c>
      <c r="B589" s="44" t="s">
        <v>281</v>
      </c>
      <c r="C589" s="8" t="s">
        <v>747</v>
      </c>
      <c r="D589" s="8" t="s">
        <v>173</v>
      </c>
      <c r="E589" s="54">
        <f t="shared" si="22"/>
        <v>355.7</v>
      </c>
      <c r="F589" s="54">
        <f t="shared" si="22"/>
        <v>275</v>
      </c>
      <c r="G589" s="54">
        <f t="shared" si="22"/>
        <v>355.5</v>
      </c>
      <c r="H589" s="54">
        <f t="shared" si="22"/>
        <v>275</v>
      </c>
      <c r="I589" s="119"/>
    </row>
    <row r="590" spans="1:9" s="5" customFormat="1" ht="30" customHeight="1">
      <c r="A590" s="39" t="s">
        <v>286</v>
      </c>
      <c r="B590" s="44" t="s">
        <v>281</v>
      </c>
      <c r="C590" s="8" t="s">
        <v>747</v>
      </c>
      <c r="D590" s="8" t="s">
        <v>48</v>
      </c>
      <c r="E590" s="54">
        <f>275+80.7</f>
        <v>355.7</v>
      </c>
      <c r="F590" s="54">
        <v>275</v>
      </c>
      <c r="G590" s="54">
        <v>355.5</v>
      </c>
      <c r="H590" s="54">
        <v>275</v>
      </c>
      <c r="I590" s="119"/>
    </row>
    <row r="591" spans="1:9" s="5" customFormat="1" ht="20.25" customHeight="1">
      <c r="A591" s="77" t="s">
        <v>240</v>
      </c>
      <c r="B591" s="44" t="s">
        <v>281</v>
      </c>
      <c r="C591" s="36" t="s">
        <v>356</v>
      </c>
      <c r="D591" s="34"/>
      <c r="E591" s="37">
        <f>E592</f>
        <v>1300</v>
      </c>
      <c r="F591" s="50"/>
      <c r="G591" s="37">
        <f>G592</f>
        <v>1300</v>
      </c>
      <c r="H591" s="50"/>
      <c r="I591" s="119"/>
    </row>
    <row r="592" spans="1:9" s="5" customFormat="1" ht="30.75" customHeight="1">
      <c r="A592" s="38" t="s">
        <v>689</v>
      </c>
      <c r="B592" s="44" t="s">
        <v>281</v>
      </c>
      <c r="C592" s="8" t="s">
        <v>690</v>
      </c>
      <c r="D592" s="35"/>
      <c r="E592" s="54">
        <f>E593</f>
        <v>1300</v>
      </c>
      <c r="F592" s="50"/>
      <c r="G592" s="54">
        <f>G593</f>
        <v>1300</v>
      </c>
      <c r="H592" s="50"/>
      <c r="I592" s="119"/>
    </row>
    <row r="593" spans="1:9" s="5" customFormat="1" ht="19.5" customHeight="1">
      <c r="A593" s="43" t="s">
        <v>170</v>
      </c>
      <c r="B593" s="44" t="s">
        <v>281</v>
      </c>
      <c r="C593" s="8" t="s">
        <v>690</v>
      </c>
      <c r="D593" s="35" t="s">
        <v>169</v>
      </c>
      <c r="E593" s="54">
        <f>E594</f>
        <v>1300</v>
      </c>
      <c r="F593" s="50"/>
      <c r="G593" s="54">
        <f>G594</f>
        <v>1300</v>
      </c>
      <c r="H593" s="50"/>
      <c r="I593" s="119"/>
    </row>
    <row r="594" spans="1:9" s="5" customFormat="1" ht="30.75" customHeight="1">
      <c r="A594" s="43" t="s">
        <v>172</v>
      </c>
      <c r="B594" s="44" t="s">
        <v>281</v>
      </c>
      <c r="C594" s="8" t="s">
        <v>690</v>
      </c>
      <c r="D594" s="45" t="s">
        <v>171</v>
      </c>
      <c r="E594" s="50">
        <v>1300</v>
      </c>
      <c r="F594" s="50"/>
      <c r="G594" s="50">
        <v>1300</v>
      </c>
      <c r="H594" s="50"/>
      <c r="I594" s="119"/>
    </row>
    <row r="595" spans="1:9" s="5" customFormat="1" ht="16.5" customHeight="1">
      <c r="A595" s="46" t="s">
        <v>156</v>
      </c>
      <c r="B595" s="59" t="s">
        <v>157</v>
      </c>
      <c r="C595" s="59"/>
      <c r="D595" s="59"/>
      <c r="E595" s="10">
        <f>E654+E596+E646</f>
        <v>295827.3</v>
      </c>
      <c r="F595" s="10">
        <f>F654+F596+F646</f>
        <v>128047.6</v>
      </c>
      <c r="G595" s="10">
        <f>G654+G596+G646</f>
        <v>235536.69999999998</v>
      </c>
      <c r="H595" s="10">
        <f>H654+H596+H646</f>
        <v>79572.5</v>
      </c>
      <c r="I595" s="16">
        <f>G595/E595*100</f>
        <v>79.6196632291881</v>
      </c>
    </row>
    <row r="596" spans="1:9" s="5" customFormat="1" ht="46.5" customHeight="1">
      <c r="A596" s="40" t="s">
        <v>440</v>
      </c>
      <c r="B596" s="8" t="s">
        <v>157</v>
      </c>
      <c r="C596" s="8" t="s">
        <v>181</v>
      </c>
      <c r="D596" s="8"/>
      <c r="E596" s="54">
        <f>E597+E604+E642</f>
        <v>237185.1</v>
      </c>
      <c r="F596" s="54">
        <f>F597+F604+F642</f>
        <v>92146.3</v>
      </c>
      <c r="G596" s="54">
        <f>G597+G604+G642</f>
        <v>214623.4</v>
      </c>
      <c r="H596" s="54">
        <f>H597+H604+H642</f>
        <v>69692.7</v>
      </c>
      <c r="I596" s="119"/>
    </row>
    <row r="597" spans="1:9" s="5" customFormat="1" ht="19.5" customHeight="1">
      <c r="A597" s="65" t="s">
        <v>441</v>
      </c>
      <c r="B597" s="8" t="s">
        <v>157</v>
      </c>
      <c r="C597" s="8" t="s">
        <v>285</v>
      </c>
      <c r="D597" s="8"/>
      <c r="E597" s="54">
        <f>E598+E601</f>
        <v>10414</v>
      </c>
      <c r="F597" s="54">
        <f>F598+F601</f>
        <v>7490</v>
      </c>
      <c r="G597" s="54">
        <f>G598+G601</f>
        <v>10278.8</v>
      </c>
      <c r="H597" s="54">
        <f>H598+H601</f>
        <v>7398.6</v>
      </c>
      <c r="I597" s="119"/>
    </row>
    <row r="598" spans="1:9" s="5" customFormat="1" ht="33.75" customHeight="1">
      <c r="A598" s="43" t="s">
        <v>432</v>
      </c>
      <c r="B598" s="8" t="s">
        <v>157</v>
      </c>
      <c r="C598" s="8" t="s">
        <v>720</v>
      </c>
      <c r="D598" s="8"/>
      <c r="E598" s="54">
        <f aca="true" t="shared" si="23" ref="E598:H599">E599</f>
        <v>7490</v>
      </c>
      <c r="F598" s="54">
        <f t="shared" si="23"/>
        <v>7490</v>
      </c>
      <c r="G598" s="54">
        <f t="shared" si="23"/>
        <v>7398.6</v>
      </c>
      <c r="H598" s="54">
        <f t="shared" si="23"/>
        <v>7398.6</v>
      </c>
      <c r="I598" s="119"/>
    </row>
    <row r="599" spans="1:9" s="5" customFormat="1" ht="31.5" customHeight="1">
      <c r="A599" s="43" t="s">
        <v>315</v>
      </c>
      <c r="B599" s="8" t="s">
        <v>157</v>
      </c>
      <c r="C599" s="8" t="s">
        <v>720</v>
      </c>
      <c r="D599" s="8" t="s">
        <v>381</v>
      </c>
      <c r="E599" s="54">
        <f t="shared" si="23"/>
        <v>7490</v>
      </c>
      <c r="F599" s="54">
        <f t="shared" si="23"/>
        <v>7490</v>
      </c>
      <c r="G599" s="54">
        <f t="shared" si="23"/>
        <v>7398.6</v>
      </c>
      <c r="H599" s="54">
        <f t="shared" si="23"/>
        <v>7398.6</v>
      </c>
      <c r="I599" s="119"/>
    </row>
    <row r="600" spans="1:9" s="5" customFormat="1" ht="19.5" customHeight="1">
      <c r="A600" s="43" t="s">
        <v>382</v>
      </c>
      <c r="B600" s="8" t="s">
        <v>157</v>
      </c>
      <c r="C600" s="8" t="s">
        <v>720</v>
      </c>
      <c r="D600" s="8" t="s">
        <v>386</v>
      </c>
      <c r="E600" s="54">
        <f>4534+1413+1543</f>
        <v>7490</v>
      </c>
      <c r="F600" s="54">
        <f>E600</f>
        <v>7490</v>
      </c>
      <c r="G600" s="54">
        <v>7398.6</v>
      </c>
      <c r="H600" s="54">
        <f>G600</f>
        <v>7398.6</v>
      </c>
      <c r="I600" s="119"/>
    </row>
    <row r="601" spans="1:9" s="5" customFormat="1" ht="45.75" customHeight="1">
      <c r="A601" s="43" t="s">
        <v>439</v>
      </c>
      <c r="B601" s="8" t="s">
        <v>157</v>
      </c>
      <c r="C601" s="8" t="s">
        <v>720</v>
      </c>
      <c r="D601" s="8"/>
      <c r="E601" s="54">
        <f>E602</f>
        <v>2924</v>
      </c>
      <c r="F601" s="54"/>
      <c r="G601" s="54">
        <f>G602</f>
        <v>2880.2</v>
      </c>
      <c r="H601" s="54"/>
      <c r="I601" s="119"/>
    </row>
    <row r="602" spans="1:9" s="5" customFormat="1" ht="33.75" customHeight="1">
      <c r="A602" s="43" t="s">
        <v>315</v>
      </c>
      <c r="B602" s="8" t="s">
        <v>157</v>
      </c>
      <c r="C602" s="8" t="s">
        <v>720</v>
      </c>
      <c r="D602" s="8" t="s">
        <v>381</v>
      </c>
      <c r="E602" s="54">
        <f>E603</f>
        <v>2924</v>
      </c>
      <c r="F602" s="54"/>
      <c r="G602" s="54">
        <f>G603</f>
        <v>2880.2</v>
      </c>
      <c r="H602" s="54"/>
      <c r="I602" s="119"/>
    </row>
    <row r="603" spans="1:9" s="5" customFormat="1" ht="21" customHeight="1">
      <c r="A603" s="43" t="s">
        <v>382</v>
      </c>
      <c r="B603" s="8" t="s">
        <v>157</v>
      </c>
      <c r="C603" s="8" t="s">
        <v>720</v>
      </c>
      <c r="D603" s="8" t="s">
        <v>386</v>
      </c>
      <c r="E603" s="54">
        <f>1331+1592+1</f>
        <v>2924</v>
      </c>
      <c r="F603" s="54"/>
      <c r="G603" s="54">
        <v>2880.2</v>
      </c>
      <c r="H603" s="54"/>
      <c r="I603" s="119"/>
    </row>
    <row r="604" spans="1:9" s="5" customFormat="1" ht="33.75" customHeight="1">
      <c r="A604" s="65" t="s">
        <v>442</v>
      </c>
      <c r="B604" s="8" t="s">
        <v>157</v>
      </c>
      <c r="C604" s="8" t="s">
        <v>443</v>
      </c>
      <c r="D604" s="8"/>
      <c r="E604" s="54">
        <f>E612+E618+E624+E633+E615+E627+E636+E605+E630+E639+E621</f>
        <v>226718.80000000002</v>
      </c>
      <c r="F604" s="54">
        <f>F612+F618+F624+F633+F615+F627+F636+F605</f>
        <v>84656.3</v>
      </c>
      <c r="G604" s="54">
        <f>G612+G618+G624+G633+G615+G627+G636+G605+G630+G639+G621</f>
        <v>204326.6</v>
      </c>
      <c r="H604" s="54">
        <f>H612+H618+H624+H633+H615+H627+H636+H605</f>
        <v>62294.1</v>
      </c>
      <c r="I604" s="119"/>
    </row>
    <row r="605" spans="1:9" s="5" customFormat="1" ht="66" customHeight="1">
      <c r="A605" s="49" t="s">
        <v>729</v>
      </c>
      <c r="B605" s="8" t="s">
        <v>157</v>
      </c>
      <c r="C605" s="45" t="s">
        <v>728</v>
      </c>
      <c r="D605" s="8"/>
      <c r="E605" s="54">
        <f>E606+E609</f>
        <v>59900</v>
      </c>
      <c r="F605" s="54">
        <f>F606+F609</f>
        <v>59900</v>
      </c>
      <c r="G605" s="54">
        <f>G606+G609</f>
        <v>59900</v>
      </c>
      <c r="H605" s="54">
        <f>H606+H609</f>
        <v>59900</v>
      </c>
      <c r="I605" s="119"/>
    </row>
    <row r="606" spans="1:9" s="5" customFormat="1" ht="93.75" customHeight="1">
      <c r="A606" s="49" t="s">
        <v>737</v>
      </c>
      <c r="B606" s="8" t="s">
        <v>157</v>
      </c>
      <c r="C606" s="45" t="s">
        <v>728</v>
      </c>
      <c r="D606" s="8"/>
      <c r="E606" s="54">
        <f aca="true" t="shared" si="24" ref="E606:H607">E607</f>
        <v>57900</v>
      </c>
      <c r="F606" s="54">
        <f t="shared" si="24"/>
        <v>57900</v>
      </c>
      <c r="G606" s="54">
        <f t="shared" si="24"/>
        <v>57900</v>
      </c>
      <c r="H606" s="54">
        <f t="shared" si="24"/>
        <v>57900</v>
      </c>
      <c r="I606" s="119"/>
    </row>
    <row r="607" spans="1:9" s="5" customFormat="1" ht="20.25" customHeight="1">
      <c r="A607" s="55" t="s">
        <v>174</v>
      </c>
      <c r="B607" s="8" t="s">
        <v>157</v>
      </c>
      <c r="C607" s="45" t="s">
        <v>728</v>
      </c>
      <c r="D607" s="45" t="s">
        <v>173</v>
      </c>
      <c r="E607" s="50">
        <f t="shared" si="24"/>
        <v>57900</v>
      </c>
      <c r="F607" s="50">
        <f t="shared" si="24"/>
        <v>57900</v>
      </c>
      <c r="G607" s="50">
        <f t="shared" si="24"/>
        <v>57900</v>
      </c>
      <c r="H607" s="50">
        <f t="shared" si="24"/>
        <v>57900</v>
      </c>
      <c r="I607" s="119"/>
    </row>
    <row r="608" spans="1:9" s="5" customFormat="1" ht="44.25" customHeight="1">
      <c r="A608" s="39" t="s">
        <v>286</v>
      </c>
      <c r="B608" s="8" t="s">
        <v>157</v>
      </c>
      <c r="C608" s="45" t="s">
        <v>728</v>
      </c>
      <c r="D608" s="45" t="s">
        <v>48</v>
      </c>
      <c r="E608" s="50">
        <v>57900</v>
      </c>
      <c r="F608" s="54">
        <f>E608</f>
        <v>57900</v>
      </c>
      <c r="G608" s="50">
        <v>57900</v>
      </c>
      <c r="H608" s="54">
        <f>G608</f>
        <v>57900</v>
      </c>
      <c r="I608" s="119"/>
    </row>
    <row r="609" spans="1:9" s="5" customFormat="1" ht="105.75" customHeight="1">
      <c r="A609" s="49" t="s">
        <v>738</v>
      </c>
      <c r="B609" s="8" t="s">
        <v>157</v>
      </c>
      <c r="C609" s="45" t="s">
        <v>728</v>
      </c>
      <c r="D609" s="8"/>
      <c r="E609" s="54">
        <f aca="true" t="shared" si="25" ref="E609:H610">E610</f>
        <v>2000</v>
      </c>
      <c r="F609" s="54">
        <f t="shared" si="25"/>
        <v>2000</v>
      </c>
      <c r="G609" s="54">
        <f t="shared" si="25"/>
        <v>2000</v>
      </c>
      <c r="H609" s="54">
        <f t="shared" si="25"/>
        <v>2000</v>
      </c>
      <c r="I609" s="119"/>
    </row>
    <row r="610" spans="1:9" s="5" customFormat="1" ht="24.75" customHeight="1">
      <c r="A610" s="55" t="s">
        <v>174</v>
      </c>
      <c r="B610" s="8" t="s">
        <v>157</v>
      </c>
      <c r="C610" s="45" t="s">
        <v>728</v>
      </c>
      <c r="D610" s="45" t="s">
        <v>173</v>
      </c>
      <c r="E610" s="50">
        <f t="shared" si="25"/>
        <v>2000</v>
      </c>
      <c r="F610" s="50">
        <f t="shared" si="25"/>
        <v>2000</v>
      </c>
      <c r="G610" s="50">
        <f t="shared" si="25"/>
        <v>2000</v>
      </c>
      <c r="H610" s="50">
        <f t="shared" si="25"/>
        <v>2000</v>
      </c>
      <c r="I610" s="119"/>
    </row>
    <row r="611" spans="1:9" s="5" customFormat="1" ht="48.75" customHeight="1">
      <c r="A611" s="39" t="s">
        <v>286</v>
      </c>
      <c r="B611" s="8" t="s">
        <v>157</v>
      </c>
      <c r="C611" s="45" t="s">
        <v>728</v>
      </c>
      <c r="D611" s="45" t="s">
        <v>48</v>
      </c>
      <c r="E611" s="50">
        <v>2000</v>
      </c>
      <c r="F611" s="54">
        <f>E611</f>
        <v>2000</v>
      </c>
      <c r="G611" s="50">
        <v>2000</v>
      </c>
      <c r="H611" s="54">
        <f>G611</f>
        <v>2000</v>
      </c>
      <c r="I611" s="119"/>
    </row>
    <row r="612" spans="1:9" s="5" customFormat="1" ht="32.25" customHeight="1">
      <c r="A612" s="43" t="s">
        <v>433</v>
      </c>
      <c r="B612" s="8" t="s">
        <v>157</v>
      </c>
      <c r="C612" s="8" t="s">
        <v>445</v>
      </c>
      <c r="D612" s="8"/>
      <c r="E612" s="54">
        <f aca="true" t="shared" si="26" ref="E612:H613">E613</f>
        <v>22361.300000000003</v>
      </c>
      <c r="F612" s="54">
        <f t="shared" si="26"/>
        <v>22361.300000000003</v>
      </c>
      <c r="G612" s="54">
        <f t="shared" si="26"/>
        <v>0</v>
      </c>
      <c r="H612" s="54">
        <f t="shared" si="26"/>
        <v>0</v>
      </c>
      <c r="I612" s="119"/>
    </row>
    <row r="613" spans="1:9" s="5" customFormat="1" ht="30.75" customHeight="1">
      <c r="A613" s="43" t="s">
        <v>315</v>
      </c>
      <c r="B613" s="8" t="s">
        <v>157</v>
      </c>
      <c r="C613" s="8" t="s">
        <v>445</v>
      </c>
      <c r="D613" s="8" t="s">
        <v>381</v>
      </c>
      <c r="E613" s="54">
        <f t="shared" si="26"/>
        <v>22361.300000000003</v>
      </c>
      <c r="F613" s="54">
        <f t="shared" si="26"/>
        <v>22361.300000000003</v>
      </c>
      <c r="G613" s="54">
        <f t="shared" si="26"/>
        <v>0</v>
      </c>
      <c r="H613" s="54">
        <f t="shared" si="26"/>
        <v>0</v>
      </c>
      <c r="I613" s="119"/>
    </row>
    <row r="614" spans="1:9" s="5" customFormat="1" ht="111" customHeight="1">
      <c r="A614" s="39" t="s">
        <v>7</v>
      </c>
      <c r="B614" s="8" t="s">
        <v>157</v>
      </c>
      <c r="C614" s="8" t="s">
        <v>445</v>
      </c>
      <c r="D614" s="8" t="s">
        <v>6</v>
      </c>
      <c r="E614" s="54">
        <f>35255.9-12894.6</f>
        <v>22361.300000000003</v>
      </c>
      <c r="F614" s="54">
        <f>E614</f>
        <v>22361.300000000003</v>
      </c>
      <c r="G614" s="54">
        <v>0</v>
      </c>
      <c r="H614" s="54">
        <f>G614</f>
        <v>0</v>
      </c>
      <c r="I614" s="119"/>
    </row>
    <row r="615" spans="1:9" s="5" customFormat="1" ht="74.25" customHeight="1">
      <c r="A615" s="40" t="s">
        <v>697</v>
      </c>
      <c r="B615" s="8" t="s">
        <v>157</v>
      </c>
      <c r="C615" s="8" t="s">
        <v>698</v>
      </c>
      <c r="D615" s="8"/>
      <c r="E615" s="54">
        <f aca="true" t="shared" si="27" ref="E615:H616">E616</f>
        <v>2395</v>
      </c>
      <c r="F615" s="54">
        <f t="shared" si="27"/>
        <v>2395</v>
      </c>
      <c r="G615" s="54">
        <f t="shared" si="27"/>
        <v>2394.1</v>
      </c>
      <c r="H615" s="54">
        <f t="shared" si="27"/>
        <v>2394.1</v>
      </c>
      <c r="I615" s="119"/>
    </row>
    <row r="616" spans="1:9" s="5" customFormat="1" ht="26.25" customHeight="1">
      <c r="A616" s="43" t="s">
        <v>170</v>
      </c>
      <c r="B616" s="8" t="s">
        <v>157</v>
      </c>
      <c r="C616" s="8" t="s">
        <v>698</v>
      </c>
      <c r="D616" s="8" t="s">
        <v>169</v>
      </c>
      <c r="E616" s="54">
        <f t="shared" si="27"/>
        <v>2395</v>
      </c>
      <c r="F616" s="54">
        <f t="shared" si="27"/>
        <v>2395</v>
      </c>
      <c r="G616" s="54">
        <f t="shared" si="27"/>
        <v>2394.1</v>
      </c>
      <c r="H616" s="54">
        <f t="shared" si="27"/>
        <v>2394.1</v>
      </c>
      <c r="I616" s="119"/>
    </row>
    <row r="617" spans="1:9" s="5" customFormat="1" ht="36" customHeight="1">
      <c r="A617" s="43" t="s">
        <v>172</v>
      </c>
      <c r="B617" s="8" t="s">
        <v>157</v>
      </c>
      <c r="C617" s="8" t="s">
        <v>698</v>
      </c>
      <c r="D617" s="8" t="s">
        <v>171</v>
      </c>
      <c r="E617" s="54">
        <f>2395</f>
        <v>2395</v>
      </c>
      <c r="F617" s="54">
        <f>2395</f>
        <v>2395</v>
      </c>
      <c r="G617" s="54">
        <v>2394.1</v>
      </c>
      <c r="H617" s="54">
        <v>2394.1</v>
      </c>
      <c r="I617" s="119"/>
    </row>
    <row r="618" spans="1:9" s="5" customFormat="1" ht="31.5" customHeight="1">
      <c r="A618" s="43" t="s">
        <v>438</v>
      </c>
      <c r="B618" s="8" t="s">
        <v>157</v>
      </c>
      <c r="C618" s="8" t="s">
        <v>445</v>
      </c>
      <c r="D618" s="8"/>
      <c r="E618" s="54">
        <f>E619</f>
        <v>7970.499999999999</v>
      </c>
      <c r="F618" s="54"/>
      <c r="G618" s="54">
        <f>G619</f>
        <v>7970.5</v>
      </c>
      <c r="H618" s="54"/>
      <c r="I618" s="119"/>
    </row>
    <row r="619" spans="1:9" s="5" customFormat="1" ht="33" customHeight="1">
      <c r="A619" s="43" t="s">
        <v>315</v>
      </c>
      <c r="B619" s="8" t="s">
        <v>157</v>
      </c>
      <c r="C619" s="8" t="s">
        <v>445</v>
      </c>
      <c r="D619" s="8" t="s">
        <v>381</v>
      </c>
      <c r="E619" s="54">
        <f>E620</f>
        <v>7970.499999999999</v>
      </c>
      <c r="F619" s="54"/>
      <c r="G619" s="54">
        <f>G620</f>
        <v>7970.5</v>
      </c>
      <c r="H619" s="54"/>
      <c r="I619" s="119"/>
    </row>
    <row r="620" spans="1:9" s="5" customFormat="1" ht="108" customHeight="1">
      <c r="A620" s="39" t="s">
        <v>7</v>
      </c>
      <c r="B620" s="8" t="s">
        <v>157</v>
      </c>
      <c r="C620" s="8" t="s">
        <v>445</v>
      </c>
      <c r="D620" s="8" t="s">
        <v>6</v>
      </c>
      <c r="E620" s="54">
        <f>13167.4-5194.6-2.3</f>
        <v>7970.499999999999</v>
      </c>
      <c r="F620" s="54"/>
      <c r="G620" s="54">
        <v>7970.5</v>
      </c>
      <c r="H620" s="54"/>
      <c r="I620" s="119"/>
    </row>
    <row r="621" spans="1:9" s="5" customFormat="1" ht="34.5" customHeight="1">
      <c r="A621" s="43" t="s">
        <v>757</v>
      </c>
      <c r="B621" s="8" t="s">
        <v>157</v>
      </c>
      <c r="C621" s="8" t="s">
        <v>758</v>
      </c>
      <c r="D621" s="8"/>
      <c r="E621" s="54">
        <f>E622</f>
        <v>30</v>
      </c>
      <c r="F621" s="54"/>
      <c r="G621" s="54">
        <f>G622</f>
        <v>0</v>
      </c>
      <c r="H621" s="54"/>
      <c r="I621" s="119"/>
    </row>
    <row r="622" spans="1:9" s="5" customFormat="1" ht="34.5" customHeight="1">
      <c r="A622" s="43" t="s">
        <v>315</v>
      </c>
      <c r="B622" s="8" t="s">
        <v>157</v>
      </c>
      <c r="C622" s="8" t="s">
        <v>758</v>
      </c>
      <c r="D622" s="8" t="s">
        <v>381</v>
      </c>
      <c r="E622" s="54">
        <f>E623</f>
        <v>30</v>
      </c>
      <c r="F622" s="54"/>
      <c r="G622" s="54">
        <f>G623</f>
        <v>0</v>
      </c>
      <c r="H622" s="54"/>
      <c r="I622" s="119"/>
    </row>
    <row r="623" spans="1:9" s="5" customFormat="1" ht="108" customHeight="1">
      <c r="A623" s="39" t="s">
        <v>7</v>
      </c>
      <c r="B623" s="8" t="s">
        <v>157</v>
      </c>
      <c r="C623" s="8" t="s">
        <v>758</v>
      </c>
      <c r="D623" s="8" t="s">
        <v>6</v>
      </c>
      <c r="E623" s="54">
        <v>30</v>
      </c>
      <c r="F623" s="54"/>
      <c r="G623" s="54">
        <v>0</v>
      </c>
      <c r="H623" s="54"/>
      <c r="I623" s="119"/>
    </row>
    <row r="624" spans="1:9" s="5" customFormat="1" ht="119.25" customHeight="1">
      <c r="A624" s="33" t="s">
        <v>725</v>
      </c>
      <c r="B624" s="8" t="s">
        <v>157</v>
      </c>
      <c r="C624" s="45" t="s">
        <v>455</v>
      </c>
      <c r="D624" s="8"/>
      <c r="E624" s="54">
        <f>E625</f>
        <v>69410.2</v>
      </c>
      <c r="F624" s="54"/>
      <c r="G624" s="54">
        <f>G625</f>
        <v>69410.2</v>
      </c>
      <c r="H624" s="54"/>
      <c r="I624" s="119"/>
    </row>
    <row r="625" spans="1:9" s="5" customFormat="1" ht="20.25" customHeight="1">
      <c r="A625" s="55" t="s">
        <v>174</v>
      </c>
      <c r="B625" s="8" t="s">
        <v>157</v>
      </c>
      <c r="C625" s="8" t="s">
        <v>455</v>
      </c>
      <c r="D625" s="8" t="s">
        <v>173</v>
      </c>
      <c r="E625" s="54">
        <f>E626</f>
        <v>69410.2</v>
      </c>
      <c r="F625" s="54"/>
      <c r="G625" s="54">
        <f>G626</f>
        <v>69410.2</v>
      </c>
      <c r="H625" s="54"/>
      <c r="I625" s="119"/>
    </row>
    <row r="626" spans="1:9" s="5" customFormat="1" ht="51" customHeight="1">
      <c r="A626" s="39" t="s">
        <v>467</v>
      </c>
      <c r="B626" s="8" t="s">
        <v>157</v>
      </c>
      <c r="C626" s="8" t="s">
        <v>455</v>
      </c>
      <c r="D626" s="8" t="s">
        <v>466</v>
      </c>
      <c r="E626" s="54">
        <f>49910.2+55800-1521-6600-47679+19500</f>
        <v>69410.2</v>
      </c>
      <c r="F626" s="54"/>
      <c r="G626" s="54">
        <v>69410.2</v>
      </c>
      <c r="H626" s="54"/>
      <c r="I626" s="119"/>
    </row>
    <row r="627" spans="1:9" s="5" customFormat="1" ht="105" customHeight="1">
      <c r="A627" s="33" t="s">
        <v>700</v>
      </c>
      <c r="B627" s="8" t="s">
        <v>157</v>
      </c>
      <c r="C627" s="8" t="s">
        <v>699</v>
      </c>
      <c r="D627" s="8"/>
      <c r="E627" s="54">
        <f>E628</f>
        <v>50000</v>
      </c>
      <c r="F627" s="54"/>
      <c r="G627" s="54">
        <f>G628</f>
        <v>50000</v>
      </c>
      <c r="H627" s="54"/>
      <c r="I627" s="119"/>
    </row>
    <row r="628" spans="1:9" s="5" customFormat="1" ht="24.75" customHeight="1">
      <c r="A628" s="55" t="s">
        <v>174</v>
      </c>
      <c r="B628" s="8" t="s">
        <v>157</v>
      </c>
      <c r="C628" s="8" t="s">
        <v>699</v>
      </c>
      <c r="D628" s="8" t="s">
        <v>173</v>
      </c>
      <c r="E628" s="54">
        <f>E629</f>
        <v>50000</v>
      </c>
      <c r="F628" s="54"/>
      <c r="G628" s="54">
        <f>G629</f>
        <v>50000</v>
      </c>
      <c r="H628" s="54"/>
      <c r="I628" s="119"/>
    </row>
    <row r="629" spans="1:9" s="5" customFormat="1" ht="51" customHeight="1">
      <c r="A629" s="39" t="s">
        <v>467</v>
      </c>
      <c r="B629" s="8" t="s">
        <v>157</v>
      </c>
      <c r="C629" s="8" t="s">
        <v>699</v>
      </c>
      <c r="D629" s="8" t="s">
        <v>466</v>
      </c>
      <c r="E629" s="54">
        <f>47679+2321</f>
        <v>50000</v>
      </c>
      <c r="F629" s="54"/>
      <c r="G629" s="54">
        <v>50000</v>
      </c>
      <c r="H629" s="54"/>
      <c r="I629" s="119"/>
    </row>
    <row r="630" spans="1:9" s="5" customFormat="1" ht="104.25" customHeight="1">
      <c r="A630" s="55" t="s">
        <v>730</v>
      </c>
      <c r="B630" s="8" t="s">
        <v>157</v>
      </c>
      <c r="C630" s="45" t="s">
        <v>731</v>
      </c>
      <c r="D630" s="8"/>
      <c r="E630" s="54">
        <f>E631</f>
        <v>5247.2</v>
      </c>
      <c r="F630" s="54"/>
      <c r="G630" s="54">
        <f>G631</f>
        <v>5247.2</v>
      </c>
      <c r="H630" s="54"/>
      <c r="I630" s="119"/>
    </row>
    <row r="631" spans="1:9" s="5" customFormat="1" ht="27.75" customHeight="1">
      <c r="A631" s="55" t="s">
        <v>174</v>
      </c>
      <c r="B631" s="8" t="s">
        <v>157</v>
      </c>
      <c r="C631" s="45" t="s">
        <v>731</v>
      </c>
      <c r="D631" s="45" t="s">
        <v>173</v>
      </c>
      <c r="E631" s="50">
        <f>E632</f>
        <v>5247.2</v>
      </c>
      <c r="F631" s="54"/>
      <c r="G631" s="50">
        <f>G632</f>
        <v>5247.2</v>
      </c>
      <c r="H631" s="54"/>
      <c r="I631" s="119"/>
    </row>
    <row r="632" spans="1:9" s="5" customFormat="1" ht="51" customHeight="1">
      <c r="A632" s="39" t="s">
        <v>286</v>
      </c>
      <c r="B632" s="8" t="s">
        <v>157</v>
      </c>
      <c r="C632" s="45" t="s">
        <v>731</v>
      </c>
      <c r="D632" s="45" t="s">
        <v>48</v>
      </c>
      <c r="E632" s="50">
        <v>5247.2</v>
      </c>
      <c r="F632" s="54"/>
      <c r="G632" s="50">
        <v>5247.2</v>
      </c>
      <c r="H632" s="54"/>
      <c r="I632" s="119"/>
    </row>
    <row r="633" spans="1:9" s="5" customFormat="1" ht="93.75" customHeight="1">
      <c r="A633" s="55" t="s">
        <v>683</v>
      </c>
      <c r="B633" s="8" t="s">
        <v>157</v>
      </c>
      <c r="C633" s="45" t="s">
        <v>682</v>
      </c>
      <c r="D633" s="45"/>
      <c r="E633" s="50">
        <f>E634</f>
        <v>5000</v>
      </c>
      <c r="F633" s="54"/>
      <c r="G633" s="50">
        <f>G634</f>
        <v>5000</v>
      </c>
      <c r="H633" s="54"/>
      <c r="I633" s="119"/>
    </row>
    <row r="634" spans="1:9" s="5" customFormat="1" ht="38.25" customHeight="1">
      <c r="A634" s="43" t="s">
        <v>315</v>
      </c>
      <c r="B634" s="8" t="s">
        <v>157</v>
      </c>
      <c r="C634" s="45" t="s">
        <v>682</v>
      </c>
      <c r="D634" s="45" t="s">
        <v>381</v>
      </c>
      <c r="E634" s="50">
        <f>E635</f>
        <v>5000</v>
      </c>
      <c r="F634" s="54"/>
      <c r="G634" s="50">
        <f>G635</f>
        <v>5000</v>
      </c>
      <c r="H634" s="54"/>
      <c r="I634" s="119"/>
    </row>
    <row r="635" spans="1:9" s="5" customFormat="1" ht="109.5" customHeight="1">
      <c r="A635" s="39" t="s">
        <v>7</v>
      </c>
      <c r="B635" s="8" t="s">
        <v>157</v>
      </c>
      <c r="C635" s="45" t="s">
        <v>682</v>
      </c>
      <c r="D635" s="45" t="s">
        <v>6</v>
      </c>
      <c r="E635" s="50">
        <f>5000</f>
        <v>5000</v>
      </c>
      <c r="F635" s="54"/>
      <c r="G635" s="50">
        <v>5000</v>
      </c>
      <c r="H635" s="54"/>
      <c r="I635" s="119"/>
    </row>
    <row r="636" spans="1:9" s="5" customFormat="1" ht="108" customHeight="1">
      <c r="A636" s="55" t="s">
        <v>722</v>
      </c>
      <c r="B636" s="8" t="s">
        <v>157</v>
      </c>
      <c r="C636" s="45" t="s">
        <v>721</v>
      </c>
      <c r="D636" s="45"/>
      <c r="E636" s="50">
        <f>E637</f>
        <v>3000</v>
      </c>
      <c r="F636" s="54"/>
      <c r="G636" s="50">
        <f>G637</f>
        <v>3000</v>
      </c>
      <c r="H636" s="54"/>
      <c r="I636" s="119"/>
    </row>
    <row r="637" spans="1:9" s="5" customFormat="1" ht="25.5" customHeight="1">
      <c r="A637" s="55" t="s">
        <v>174</v>
      </c>
      <c r="B637" s="8" t="s">
        <v>157</v>
      </c>
      <c r="C637" s="45" t="s">
        <v>721</v>
      </c>
      <c r="D637" s="45" t="s">
        <v>173</v>
      </c>
      <c r="E637" s="50">
        <f>E638</f>
        <v>3000</v>
      </c>
      <c r="F637" s="54"/>
      <c r="G637" s="50">
        <f>G638</f>
        <v>3000</v>
      </c>
      <c r="H637" s="54"/>
      <c r="I637" s="119"/>
    </row>
    <row r="638" spans="1:9" s="5" customFormat="1" ht="47.25" customHeight="1">
      <c r="A638" s="39" t="s">
        <v>286</v>
      </c>
      <c r="B638" s="8" t="s">
        <v>157</v>
      </c>
      <c r="C638" s="45" t="s">
        <v>721</v>
      </c>
      <c r="D638" s="45" t="s">
        <v>48</v>
      </c>
      <c r="E638" s="50">
        <v>3000</v>
      </c>
      <c r="F638" s="54"/>
      <c r="G638" s="50">
        <v>3000</v>
      </c>
      <c r="H638" s="54"/>
      <c r="I638" s="119"/>
    </row>
    <row r="639" spans="1:9" s="5" customFormat="1" ht="45" customHeight="1">
      <c r="A639" s="39" t="s">
        <v>741</v>
      </c>
      <c r="B639" s="8" t="s">
        <v>157</v>
      </c>
      <c r="C639" s="45" t="s">
        <v>742</v>
      </c>
      <c r="D639" s="45"/>
      <c r="E639" s="54">
        <f>E640</f>
        <v>1404.6</v>
      </c>
      <c r="F639" s="54"/>
      <c r="G639" s="54">
        <f>G640</f>
        <v>1404.6</v>
      </c>
      <c r="H639" s="54"/>
      <c r="I639" s="119"/>
    </row>
    <row r="640" spans="1:9" s="5" customFormat="1" ht="26.25" customHeight="1">
      <c r="A640" s="39" t="s">
        <v>170</v>
      </c>
      <c r="B640" s="8" t="s">
        <v>157</v>
      </c>
      <c r="C640" s="45" t="s">
        <v>742</v>
      </c>
      <c r="D640" s="45" t="s">
        <v>169</v>
      </c>
      <c r="E640" s="54">
        <f>E641</f>
        <v>1404.6</v>
      </c>
      <c r="F640" s="54"/>
      <c r="G640" s="54">
        <f>G641</f>
        <v>1404.6</v>
      </c>
      <c r="H640" s="54"/>
      <c r="I640" s="119"/>
    </row>
    <row r="641" spans="1:9" s="5" customFormat="1" ht="30.75" customHeight="1">
      <c r="A641" s="39" t="s">
        <v>172</v>
      </c>
      <c r="B641" s="8" t="s">
        <v>157</v>
      </c>
      <c r="C641" s="45" t="s">
        <v>742</v>
      </c>
      <c r="D641" s="45" t="s">
        <v>171</v>
      </c>
      <c r="E641" s="54">
        <v>1404.6</v>
      </c>
      <c r="F641" s="54"/>
      <c r="G641" s="54">
        <v>1404.6</v>
      </c>
      <c r="H641" s="54"/>
      <c r="I641" s="119"/>
    </row>
    <row r="642" spans="1:9" s="5" customFormat="1" ht="33" customHeight="1">
      <c r="A642" s="33" t="s">
        <v>444</v>
      </c>
      <c r="B642" s="8" t="s">
        <v>157</v>
      </c>
      <c r="C642" s="8" t="s">
        <v>446</v>
      </c>
      <c r="D642" s="8"/>
      <c r="E642" s="47">
        <f>E643</f>
        <v>52.299999999999955</v>
      </c>
      <c r="F642" s="47"/>
      <c r="G642" s="47">
        <f>G643</f>
        <v>18</v>
      </c>
      <c r="H642" s="47"/>
      <c r="I642" s="119"/>
    </row>
    <row r="643" spans="1:9" s="5" customFormat="1" ht="33.75" customHeight="1">
      <c r="A643" s="55" t="s">
        <v>513</v>
      </c>
      <c r="B643" s="8" t="s">
        <v>157</v>
      </c>
      <c r="C643" s="45" t="s">
        <v>447</v>
      </c>
      <c r="D643" s="45"/>
      <c r="E643" s="50">
        <f>E644</f>
        <v>52.299999999999955</v>
      </c>
      <c r="F643" s="50"/>
      <c r="G643" s="50">
        <f>G644</f>
        <v>18</v>
      </c>
      <c r="H643" s="50"/>
      <c r="I643" s="119"/>
    </row>
    <row r="644" spans="1:9" s="5" customFormat="1" ht="21.75" customHeight="1">
      <c r="A644" s="43" t="s">
        <v>170</v>
      </c>
      <c r="B644" s="8" t="s">
        <v>157</v>
      </c>
      <c r="C644" s="45" t="s">
        <v>447</v>
      </c>
      <c r="D644" s="45" t="s">
        <v>169</v>
      </c>
      <c r="E644" s="50">
        <f>E645</f>
        <v>52.299999999999955</v>
      </c>
      <c r="F644" s="50"/>
      <c r="G644" s="50">
        <f>G645</f>
        <v>18</v>
      </c>
      <c r="H644" s="50"/>
      <c r="I644" s="119"/>
    </row>
    <row r="645" spans="1:9" s="5" customFormat="1" ht="31.5" customHeight="1">
      <c r="A645" s="43" t="s">
        <v>172</v>
      </c>
      <c r="B645" s="8" t="s">
        <v>157</v>
      </c>
      <c r="C645" s="45" t="s">
        <v>447</v>
      </c>
      <c r="D645" s="45" t="s">
        <v>171</v>
      </c>
      <c r="E645" s="50">
        <f>2000-1000+2.3-950</f>
        <v>52.299999999999955</v>
      </c>
      <c r="F645" s="50"/>
      <c r="G645" s="50">
        <v>18</v>
      </c>
      <c r="H645" s="50"/>
      <c r="I645" s="119"/>
    </row>
    <row r="646" spans="1:9" s="5" customFormat="1" ht="32.25" customHeight="1">
      <c r="A646" s="43" t="s">
        <v>470</v>
      </c>
      <c r="B646" s="8" t="s">
        <v>157</v>
      </c>
      <c r="C646" s="45" t="s">
        <v>437</v>
      </c>
      <c r="D646" s="8"/>
      <c r="E646" s="54">
        <f>E647+E651</f>
        <v>46444.200000000004</v>
      </c>
      <c r="F646" s="54">
        <f>F647+F651</f>
        <v>35901.3</v>
      </c>
      <c r="G646" s="54">
        <f>G647+G651</f>
        <v>14904.3</v>
      </c>
      <c r="H646" s="54">
        <f>H647+H651</f>
        <v>9879.8</v>
      </c>
      <c r="I646" s="119"/>
    </row>
    <row r="647" spans="1:9" s="5" customFormat="1" ht="20.25" customHeight="1">
      <c r="A647" s="43" t="s">
        <v>460</v>
      </c>
      <c r="B647" s="8" t="s">
        <v>157</v>
      </c>
      <c r="C647" s="44" t="s">
        <v>735</v>
      </c>
      <c r="D647" s="8"/>
      <c r="E647" s="54">
        <f aca="true" t="shared" si="28" ref="E647:H649">E648</f>
        <v>35901.3</v>
      </c>
      <c r="F647" s="54">
        <f t="shared" si="28"/>
        <v>35901.3</v>
      </c>
      <c r="G647" s="54">
        <f t="shared" si="28"/>
        <v>9879.8</v>
      </c>
      <c r="H647" s="54">
        <f t="shared" si="28"/>
        <v>9879.8</v>
      </c>
      <c r="I647" s="119"/>
    </row>
    <row r="648" spans="1:9" s="5" customFormat="1" ht="22.5" customHeight="1">
      <c r="A648" s="43" t="s">
        <v>734</v>
      </c>
      <c r="B648" s="8" t="s">
        <v>157</v>
      </c>
      <c r="C648" s="44" t="s">
        <v>735</v>
      </c>
      <c r="D648" s="8"/>
      <c r="E648" s="54">
        <f t="shared" si="28"/>
        <v>35901.3</v>
      </c>
      <c r="F648" s="54">
        <f t="shared" si="28"/>
        <v>35901.3</v>
      </c>
      <c r="G648" s="54">
        <f t="shared" si="28"/>
        <v>9879.8</v>
      </c>
      <c r="H648" s="54">
        <f t="shared" si="28"/>
        <v>9879.8</v>
      </c>
      <c r="I648" s="119"/>
    </row>
    <row r="649" spans="1:9" s="5" customFormat="1" ht="20.25" customHeight="1">
      <c r="A649" s="43" t="s">
        <v>170</v>
      </c>
      <c r="B649" s="8" t="s">
        <v>157</v>
      </c>
      <c r="C649" s="44" t="s">
        <v>735</v>
      </c>
      <c r="D649" s="8" t="s">
        <v>169</v>
      </c>
      <c r="E649" s="54">
        <f t="shared" si="28"/>
        <v>35901.3</v>
      </c>
      <c r="F649" s="54">
        <f t="shared" si="28"/>
        <v>35901.3</v>
      </c>
      <c r="G649" s="54">
        <f t="shared" si="28"/>
        <v>9879.8</v>
      </c>
      <c r="H649" s="54">
        <f t="shared" si="28"/>
        <v>9879.8</v>
      </c>
      <c r="I649" s="119"/>
    </row>
    <row r="650" spans="1:9" s="5" customFormat="1" ht="31.5" customHeight="1">
      <c r="A650" s="43" t="s">
        <v>172</v>
      </c>
      <c r="B650" s="8" t="s">
        <v>157</v>
      </c>
      <c r="C650" s="44" t="s">
        <v>735</v>
      </c>
      <c r="D650" s="8" t="s">
        <v>171</v>
      </c>
      <c r="E650" s="54">
        <f>26403.8+9497.5</f>
        <v>35901.3</v>
      </c>
      <c r="F650" s="54">
        <f>E650</f>
        <v>35901.3</v>
      </c>
      <c r="G650" s="54">
        <v>9879.8</v>
      </c>
      <c r="H650" s="54">
        <f>G650</f>
        <v>9879.8</v>
      </c>
      <c r="I650" s="119"/>
    </row>
    <row r="651" spans="1:9" s="5" customFormat="1" ht="31.5" customHeight="1">
      <c r="A651" s="43" t="s">
        <v>736</v>
      </c>
      <c r="B651" s="8" t="s">
        <v>157</v>
      </c>
      <c r="C651" s="44" t="s">
        <v>735</v>
      </c>
      <c r="D651" s="36"/>
      <c r="E651" s="37">
        <f>E652</f>
        <v>10542.9</v>
      </c>
      <c r="F651" s="37"/>
      <c r="G651" s="37">
        <f>G652</f>
        <v>5024.5</v>
      </c>
      <c r="H651" s="37"/>
      <c r="I651" s="119"/>
    </row>
    <row r="652" spans="1:9" s="5" customFormat="1" ht="22.5" customHeight="1">
      <c r="A652" s="43" t="s">
        <v>170</v>
      </c>
      <c r="B652" s="8" t="s">
        <v>157</v>
      </c>
      <c r="C652" s="44" t="s">
        <v>735</v>
      </c>
      <c r="D652" s="36" t="s">
        <v>169</v>
      </c>
      <c r="E652" s="37">
        <f>E653</f>
        <v>10542.9</v>
      </c>
      <c r="F652" s="37"/>
      <c r="G652" s="37">
        <f>G653</f>
        <v>5024.5</v>
      </c>
      <c r="H652" s="37"/>
      <c r="I652" s="119"/>
    </row>
    <row r="653" spans="1:9" s="5" customFormat="1" ht="31.5" customHeight="1">
      <c r="A653" s="43" t="s">
        <v>172</v>
      </c>
      <c r="B653" s="8" t="s">
        <v>157</v>
      </c>
      <c r="C653" s="44" t="s">
        <v>735</v>
      </c>
      <c r="D653" s="36" t="s">
        <v>171</v>
      </c>
      <c r="E653" s="37">
        <f>7753.8+2789.1</f>
        <v>10542.9</v>
      </c>
      <c r="F653" s="37">
        <v>0</v>
      </c>
      <c r="G653" s="37">
        <v>5024.5</v>
      </c>
      <c r="H653" s="37">
        <v>0</v>
      </c>
      <c r="I653" s="119"/>
    </row>
    <row r="654" spans="1:9" s="5" customFormat="1" ht="44.25" customHeight="1">
      <c r="A654" s="40" t="s">
        <v>212</v>
      </c>
      <c r="B654" s="8" t="s">
        <v>157</v>
      </c>
      <c r="C654" s="45" t="s">
        <v>182</v>
      </c>
      <c r="D654" s="8"/>
      <c r="E654" s="54">
        <f>E655</f>
        <v>12198</v>
      </c>
      <c r="F654" s="10"/>
      <c r="G654" s="54">
        <f>G655</f>
        <v>6009</v>
      </c>
      <c r="H654" s="10"/>
      <c r="I654" s="119"/>
    </row>
    <row r="655" spans="1:9" s="5" customFormat="1" ht="48.75" customHeight="1">
      <c r="A655" s="40" t="s">
        <v>317</v>
      </c>
      <c r="B655" s="8" t="s">
        <v>157</v>
      </c>
      <c r="C655" s="45" t="s">
        <v>183</v>
      </c>
      <c r="D655" s="8"/>
      <c r="E655" s="54">
        <f>E656+E658</f>
        <v>12198</v>
      </c>
      <c r="F655" s="10"/>
      <c r="G655" s="54">
        <f>G656+G658</f>
        <v>6009</v>
      </c>
      <c r="H655" s="10"/>
      <c r="I655" s="119"/>
    </row>
    <row r="656" spans="1:9" s="5" customFormat="1" ht="18.75" customHeight="1">
      <c r="A656" s="43" t="s">
        <v>170</v>
      </c>
      <c r="B656" s="8" t="s">
        <v>157</v>
      </c>
      <c r="C656" s="45" t="s">
        <v>183</v>
      </c>
      <c r="D656" s="8" t="s">
        <v>169</v>
      </c>
      <c r="E656" s="54">
        <f>E657</f>
        <v>10886.5</v>
      </c>
      <c r="F656" s="10"/>
      <c r="G656" s="54">
        <f>G657</f>
        <v>5986.9</v>
      </c>
      <c r="H656" s="10"/>
      <c r="I656" s="119"/>
    </row>
    <row r="657" spans="1:9" s="5" customFormat="1" ht="33.75" customHeight="1">
      <c r="A657" s="43" t="s">
        <v>172</v>
      </c>
      <c r="B657" s="8" t="s">
        <v>157</v>
      </c>
      <c r="C657" s="45" t="s">
        <v>183</v>
      </c>
      <c r="D657" s="8" t="s">
        <v>171</v>
      </c>
      <c r="E657" s="54">
        <f>12091.4+2385+2080.8-9800+1521+1980.8+100-1311.5+889+950</f>
        <v>10886.5</v>
      </c>
      <c r="F657" s="10"/>
      <c r="G657" s="54">
        <v>5986.9</v>
      </c>
      <c r="H657" s="10"/>
      <c r="I657" s="119"/>
    </row>
    <row r="658" spans="1:9" s="5" customFormat="1" ht="33.75" customHeight="1">
      <c r="A658" s="57" t="s">
        <v>328</v>
      </c>
      <c r="B658" s="8" t="s">
        <v>157</v>
      </c>
      <c r="C658" s="45" t="s">
        <v>183</v>
      </c>
      <c r="D658" s="45" t="s">
        <v>327</v>
      </c>
      <c r="E658" s="47">
        <f>E659</f>
        <v>1311.5</v>
      </c>
      <c r="F658" s="54"/>
      <c r="G658" s="47">
        <f>G659</f>
        <v>22.1</v>
      </c>
      <c r="H658" s="54"/>
      <c r="I658" s="119"/>
    </row>
    <row r="659" spans="1:9" s="5" customFormat="1" ht="21" customHeight="1">
      <c r="A659" s="55" t="s">
        <v>326</v>
      </c>
      <c r="B659" s="8" t="s">
        <v>157</v>
      </c>
      <c r="C659" s="45" t="s">
        <v>183</v>
      </c>
      <c r="D659" s="45" t="s">
        <v>325</v>
      </c>
      <c r="E659" s="47">
        <v>1311.5</v>
      </c>
      <c r="F659" s="54"/>
      <c r="G659" s="47">
        <v>22.1</v>
      </c>
      <c r="H659" s="54"/>
      <c r="I659" s="119"/>
    </row>
    <row r="660" spans="1:9" s="5" customFormat="1" ht="20.25" customHeight="1">
      <c r="A660" s="58" t="s">
        <v>15</v>
      </c>
      <c r="B660" s="59" t="s">
        <v>14</v>
      </c>
      <c r="C660" s="59"/>
      <c r="D660" s="59"/>
      <c r="E660" s="10">
        <f>E680+E671+E666+E675+E661</f>
        <v>99290.2</v>
      </c>
      <c r="F660" s="10">
        <f>F680+F671+F666+F675+F661</f>
        <v>4000</v>
      </c>
      <c r="G660" s="10">
        <f>G680+G671+G666+G675+G661</f>
        <v>93795.1</v>
      </c>
      <c r="H660" s="10">
        <f>H680+H671+H666+H675+H661</f>
        <v>0</v>
      </c>
      <c r="I660" s="16">
        <f>G660/E660*100</f>
        <v>94.46561694910476</v>
      </c>
    </row>
    <row r="661" spans="1:9" s="5" customFormat="1" ht="35.25" customHeight="1">
      <c r="A661" s="57" t="s">
        <v>259</v>
      </c>
      <c r="B661" s="44" t="s">
        <v>14</v>
      </c>
      <c r="C661" s="44" t="s">
        <v>405</v>
      </c>
      <c r="D661" s="34"/>
      <c r="E661" s="50">
        <f aca="true" t="shared" si="29" ref="E661:H664">E662</f>
        <v>4000</v>
      </c>
      <c r="F661" s="50">
        <f t="shared" si="29"/>
        <v>4000</v>
      </c>
      <c r="G661" s="50">
        <f t="shared" si="29"/>
        <v>0</v>
      </c>
      <c r="H661" s="50">
        <f t="shared" si="29"/>
        <v>0</v>
      </c>
      <c r="I661" s="119"/>
    </row>
    <row r="662" spans="1:9" s="5" customFormat="1" ht="20.25" customHeight="1">
      <c r="A662" s="40" t="s">
        <v>41</v>
      </c>
      <c r="B662" s="44" t="s">
        <v>14</v>
      </c>
      <c r="C662" s="44" t="s">
        <v>755</v>
      </c>
      <c r="D662" s="59"/>
      <c r="E662" s="50">
        <f t="shared" si="29"/>
        <v>4000</v>
      </c>
      <c r="F662" s="50">
        <f t="shared" si="29"/>
        <v>4000</v>
      </c>
      <c r="G662" s="50">
        <f t="shared" si="29"/>
        <v>0</v>
      </c>
      <c r="H662" s="50">
        <f t="shared" si="29"/>
        <v>0</v>
      </c>
      <c r="I662" s="119"/>
    </row>
    <row r="663" spans="1:9" s="5" customFormat="1" ht="47.25" customHeight="1">
      <c r="A663" s="40" t="s">
        <v>754</v>
      </c>
      <c r="B663" s="44" t="s">
        <v>14</v>
      </c>
      <c r="C663" s="44" t="s">
        <v>756</v>
      </c>
      <c r="D663" s="59"/>
      <c r="E663" s="50">
        <f t="shared" si="29"/>
        <v>4000</v>
      </c>
      <c r="F663" s="50">
        <f t="shared" si="29"/>
        <v>4000</v>
      </c>
      <c r="G663" s="50">
        <f t="shared" si="29"/>
        <v>0</v>
      </c>
      <c r="H663" s="50">
        <f t="shared" si="29"/>
        <v>0</v>
      </c>
      <c r="I663" s="119"/>
    </row>
    <row r="664" spans="1:9" s="5" customFormat="1" ht="20.25" customHeight="1">
      <c r="A664" s="43" t="s">
        <v>170</v>
      </c>
      <c r="B664" s="44" t="s">
        <v>14</v>
      </c>
      <c r="C664" s="44" t="s">
        <v>756</v>
      </c>
      <c r="D664" s="45" t="s">
        <v>169</v>
      </c>
      <c r="E664" s="50">
        <f t="shared" si="29"/>
        <v>4000</v>
      </c>
      <c r="F664" s="50">
        <f t="shared" si="29"/>
        <v>4000</v>
      </c>
      <c r="G664" s="50">
        <f t="shared" si="29"/>
        <v>0</v>
      </c>
      <c r="H664" s="50">
        <f t="shared" si="29"/>
        <v>0</v>
      </c>
      <c r="I664" s="119"/>
    </row>
    <row r="665" spans="1:9" s="5" customFormat="1" ht="31.5" customHeight="1">
      <c r="A665" s="55" t="s">
        <v>172</v>
      </c>
      <c r="B665" s="44" t="s">
        <v>14</v>
      </c>
      <c r="C665" s="44" t="s">
        <v>756</v>
      </c>
      <c r="D665" s="44" t="s">
        <v>171</v>
      </c>
      <c r="E665" s="50">
        <v>4000</v>
      </c>
      <c r="F665" s="50">
        <v>4000</v>
      </c>
      <c r="G665" s="50">
        <v>0</v>
      </c>
      <c r="H665" s="50">
        <v>0</v>
      </c>
      <c r="I665" s="119"/>
    </row>
    <row r="666" spans="1:9" s="5" customFormat="1" ht="47.25" customHeight="1">
      <c r="A666" s="40" t="s">
        <v>440</v>
      </c>
      <c r="B666" s="44" t="s">
        <v>14</v>
      </c>
      <c r="C666" s="8" t="s">
        <v>181</v>
      </c>
      <c r="D666" s="8"/>
      <c r="E666" s="54">
        <f aca="true" t="shared" si="30" ref="E666:H669">E667</f>
        <v>300</v>
      </c>
      <c r="F666" s="54">
        <f t="shared" si="30"/>
        <v>0</v>
      </c>
      <c r="G666" s="54">
        <f t="shared" si="30"/>
        <v>0</v>
      </c>
      <c r="H666" s="54">
        <f t="shared" si="30"/>
        <v>0</v>
      </c>
      <c r="I666" s="119"/>
    </row>
    <row r="667" spans="1:9" s="5" customFormat="1" ht="20.25" customHeight="1">
      <c r="A667" s="65" t="s">
        <v>441</v>
      </c>
      <c r="B667" s="44" t="s">
        <v>14</v>
      </c>
      <c r="C667" s="8" t="s">
        <v>285</v>
      </c>
      <c r="D667" s="8"/>
      <c r="E667" s="54">
        <f t="shared" si="30"/>
        <v>300</v>
      </c>
      <c r="F667" s="54">
        <f t="shared" si="30"/>
        <v>0</v>
      </c>
      <c r="G667" s="54">
        <f t="shared" si="30"/>
        <v>0</v>
      </c>
      <c r="H667" s="54">
        <f t="shared" si="30"/>
        <v>0</v>
      </c>
      <c r="I667" s="119"/>
    </row>
    <row r="668" spans="1:9" s="5" customFormat="1" ht="20.25" customHeight="1">
      <c r="A668" s="49" t="s">
        <v>625</v>
      </c>
      <c r="B668" s="44" t="s">
        <v>14</v>
      </c>
      <c r="C668" s="8" t="s">
        <v>626</v>
      </c>
      <c r="D668" s="8"/>
      <c r="E668" s="54">
        <f t="shared" si="30"/>
        <v>300</v>
      </c>
      <c r="F668" s="54">
        <f t="shared" si="30"/>
        <v>0</v>
      </c>
      <c r="G668" s="54">
        <f t="shared" si="30"/>
        <v>0</v>
      </c>
      <c r="H668" s="54">
        <f t="shared" si="30"/>
        <v>0</v>
      </c>
      <c r="I668" s="119"/>
    </row>
    <row r="669" spans="1:9" s="5" customFormat="1" ht="20.25" customHeight="1">
      <c r="A669" s="43" t="s">
        <v>170</v>
      </c>
      <c r="B669" s="44" t="s">
        <v>14</v>
      </c>
      <c r="C669" s="8" t="s">
        <v>626</v>
      </c>
      <c r="D669" s="45" t="s">
        <v>169</v>
      </c>
      <c r="E669" s="50">
        <f t="shared" si="30"/>
        <v>300</v>
      </c>
      <c r="F669" s="50">
        <f t="shared" si="30"/>
        <v>0</v>
      </c>
      <c r="G669" s="50">
        <f t="shared" si="30"/>
        <v>0</v>
      </c>
      <c r="H669" s="50">
        <f t="shared" si="30"/>
        <v>0</v>
      </c>
      <c r="I669" s="119"/>
    </row>
    <row r="670" spans="1:9" s="5" customFormat="1" ht="33" customHeight="1">
      <c r="A670" s="55" t="s">
        <v>172</v>
      </c>
      <c r="B670" s="44" t="s">
        <v>14</v>
      </c>
      <c r="C670" s="8" t="s">
        <v>626</v>
      </c>
      <c r="D670" s="44" t="s">
        <v>171</v>
      </c>
      <c r="E670" s="50">
        <f>300</f>
        <v>300</v>
      </c>
      <c r="F670" s="50"/>
      <c r="G670" s="50">
        <v>0</v>
      </c>
      <c r="H670" s="50"/>
      <c r="I670" s="119"/>
    </row>
    <row r="671" spans="1:9" s="5" customFormat="1" ht="42.75" customHeight="1">
      <c r="A671" s="43" t="s">
        <v>236</v>
      </c>
      <c r="B671" s="44" t="s">
        <v>14</v>
      </c>
      <c r="C671" s="45" t="s">
        <v>178</v>
      </c>
      <c r="D671" s="45"/>
      <c r="E671" s="50">
        <f>E672</f>
        <v>1048</v>
      </c>
      <c r="F671" s="50"/>
      <c r="G671" s="50">
        <f>G672</f>
        <v>1048</v>
      </c>
      <c r="H671" s="50"/>
      <c r="I671" s="119"/>
    </row>
    <row r="672" spans="1:9" s="5" customFormat="1" ht="76.5" customHeight="1">
      <c r="A672" s="43" t="s">
        <v>537</v>
      </c>
      <c r="B672" s="44" t="s">
        <v>14</v>
      </c>
      <c r="C672" s="45" t="s">
        <v>536</v>
      </c>
      <c r="D672" s="45"/>
      <c r="E672" s="50">
        <f>E673</f>
        <v>1048</v>
      </c>
      <c r="F672" s="50"/>
      <c r="G672" s="50">
        <f>G673</f>
        <v>1048</v>
      </c>
      <c r="H672" s="50"/>
      <c r="I672" s="119"/>
    </row>
    <row r="673" spans="1:9" s="5" customFormat="1" ht="20.25" customHeight="1">
      <c r="A673" s="43" t="s">
        <v>170</v>
      </c>
      <c r="B673" s="44" t="s">
        <v>14</v>
      </c>
      <c r="C673" s="45" t="s">
        <v>536</v>
      </c>
      <c r="D673" s="45" t="s">
        <v>169</v>
      </c>
      <c r="E673" s="50">
        <f>E674</f>
        <v>1048</v>
      </c>
      <c r="F673" s="50"/>
      <c r="G673" s="50">
        <f>G674</f>
        <v>1048</v>
      </c>
      <c r="H673" s="50"/>
      <c r="I673" s="119"/>
    </row>
    <row r="674" spans="1:9" s="5" customFormat="1" ht="29.25" customHeight="1">
      <c r="A674" s="55" t="s">
        <v>172</v>
      </c>
      <c r="B674" s="44" t="s">
        <v>14</v>
      </c>
      <c r="C674" s="45" t="s">
        <v>536</v>
      </c>
      <c r="D674" s="45" t="s">
        <v>171</v>
      </c>
      <c r="E674" s="47">
        <f>48+1000</f>
        <v>1048</v>
      </c>
      <c r="F674" s="50"/>
      <c r="G674" s="47">
        <v>1048</v>
      </c>
      <c r="H674" s="50"/>
      <c r="I674" s="119"/>
    </row>
    <row r="675" spans="1:9" s="5" customFormat="1" ht="32.25" customHeight="1">
      <c r="A675" s="43" t="s">
        <v>470</v>
      </c>
      <c r="B675" s="44" t="s">
        <v>14</v>
      </c>
      <c r="C675" s="8" t="s">
        <v>437</v>
      </c>
      <c r="D675" s="8"/>
      <c r="E675" s="50">
        <f>E676</f>
        <v>49219.3</v>
      </c>
      <c r="F675" s="54"/>
      <c r="G675" s="50">
        <f>G676</f>
        <v>49219.3</v>
      </c>
      <c r="H675" s="54"/>
      <c r="I675" s="119"/>
    </row>
    <row r="676" spans="1:9" s="5" customFormat="1" ht="19.5" customHeight="1">
      <c r="A676" s="43" t="s">
        <v>460</v>
      </c>
      <c r="B676" s="44" t="s">
        <v>14</v>
      </c>
      <c r="C676" s="8" t="s">
        <v>461</v>
      </c>
      <c r="D676" s="8"/>
      <c r="E676" s="50">
        <f>E677</f>
        <v>49219.3</v>
      </c>
      <c r="F676" s="54"/>
      <c r="G676" s="50">
        <f>G677</f>
        <v>49219.3</v>
      </c>
      <c r="H676" s="54"/>
      <c r="I676" s="119"/>
    </row>
    <row r="677" spans="1:9" s="5" customFormat="1" ht="167.25" customHeight="1">
      <c r="A677" s="55" t="s">
        <v>685</v>
      </c>
      <c r="B677" s="44" t="s">
        <v>14</v>
      </c>
      <c r="C677" s="8" t="s">
        <v>684</v>
      </c>
      <c r="D677" s="45"/>
      <c r="E677" s="47">
        <f>E678</f>
        <v>49219.3</v>
      </c>
      <c r="F677" s="54"/>
      <c r="G677" s="47">
        <f>G678</f>
        <v>49219.3</v>
      </c>
      <c r="H677" s="54"/>
      <c r="I677" s="119"/>
    </row>
    <row r="678" spans="1:9" s="5" customFormat="1" ht="29.25" customHeight="1">
      <c r="A678" s="57" t="s">
        <v>328</v>
      </c>
      <c r="B678" s="44" t="s">
        <v>14</v>
      </c>
      <c r="C678" s="8" t="s">
        <v>684</v>
      </c>
      <c r="D678" s="45" t="s">
        <v>327</v>
      </c>
      <c r="E678" s="47">
        <f>E679</f>
        <v>49219.3</v>
      </c>
      <c r="F678" s="54"/>
      <c r="G678" s="47">
        <f>G679</f>
        <v>49219.3</v>
      </c>
      <c r="H678" s="54"/>
      <c r="I678" s="119"/>
    </row>
    <row r="679" spans="1:9" s="5" customFormat="1" ht="22.5" customHeight="1">
      <c r="A679" s="55" t="s">
        <v>326</v>
      </c>
      <c r="B679" s="44" t="s">
        <v>14</v>
      </c>
      <c r="C679" s="8" t="s">
        <v>684</v>
      </c>
      <c r="D679" s="45" t="s">
        <v>325</v>
      </c>
      <c r="E679" s="47">
        <v>49219.3</v>
      </c>
      <c r="F679" s="54"/>
      <c r="G679" s="47">
        <v>49219.3</v>
      </c>
      <c r="H679" s="54"/>
      <c r="I679" s="119"/>
    </row>
    <row r="680" spans="1:9" s="5" customFormat="1" ht="44.25" customHeight="1">
      <c r="A680" s="40" t="s">
        <v>237</v>
      </c>
      <c r="B680" s="8" t="s">
        <v>14</v>
      </c>
      <c r="C680" s="45" t="s">
        <v>184</v>
      </c>
      <c r="D680" s="8"/>
      <c r="E680" s="54">
        <f>E681+E690+E684+E697+E687</f>
        <v>44722.899999999994</v>
      </c>
      <c r="F680" s="10"/>
      <c r="G680" s="54">
        <f>G681+G690+G684+G697+G687</f>
        <v>43527.8</v>
      </c>
      <c r="H680" s="10"/>
      <c r="I680" s="119"/>
    </row>
    <row r="681" spans="1:9" s="5" customFormat="1" ht="17.25" customHeight="1">
      <c r="A681" s="40" t="s">
        <v>197</v>
      </c>
      <c r="B681" s="8" t="s">
        <v>14</v>
      </c>
      <c r="C681" s="45" t="s">
        <v>185</v>
      </c>
      <c r="D681" s="8"/>
      <c r="E681" s="54">
        <f>E682</f>
        <v>18610.1</v>
      </c>
      <c r="F681" s="10"/>
      <c r="G681" s="54">
        <f>G682</f>
        <v>17673.4</v>
      </c>
      <c r="H681" s="10"/>
      <c r="I681" s="119"/>
    </row>
    <row r="682" spans="1:9" s="5" customFormat="1" ht="20.25" customHeight="1">
      <c r="A682" s="55" t="s">
        <v>170</v>
      </c>
      <c r="B682" s="36" t="s">
        <v>14</v>
      </c>
      <c r="C682" s="45" t="s">
        <v>185</v>
      </c>
      <c r="D682" s="36" t="s">
        <v>169</v>
      </c>
      <c r="E682" s="37">
        <f>E683</f>
        <v>18610.1</v>
      </c>
      <c r="F682" s="11"/>
      <c r="G682" s="37">
        <f>G683</f>
        <v>17673.4</v>
      </c>
      <c r="H682" s="11"/>
      <c r="I682" s="119"/>
    </row>
    <row r="683" spans="1:9" s="5" customFormat="1" ht="33" customHeight="1">
      <c r="A683" s="43" t="s">
        <v>172</v>
      </c>
      <c r="B683" s="8" t="s">
        <v>14</v>
      </c>
      <c r="C683" s="45" t="s">
        <v>185</v>
      </c>
      <c r="D683" s="8" t="s">
        <v>171</v>
      </c>
      <c r="E683" s="54">
        <f>17183.5+1567.1-510-25+350+44.5</f>
        <v>18610.1</v>
      </c>
      <c r="F683" s="10"/>
      <c r="G683" s="54">
        <v>17673.4</v>
      </c>
      <c r="H683" s="10"/>
      <c r="I683" s="119"/>
    </row>
    <row r="684" spans="1:9" s="5" customFormat="1" ht="30" customHeight="1">
      <c r="A684" s="43" t="s">
        <v>11</v>
      </c>
      <c r="B684" s="36" t="s">
        <v>14</v>
      </c>
      <c r="C684" s="44" t="s">
        <v>304</v>
      </c>
      <c r="D684" s="8"/>
      <c r="E684" s="54">
        <f>E685</f>
        <v>130.5</v>
      </c>
      <c r="F684" s="11"/>
      <c r="G684" s="54">
        <f>G685</f>
        <v>130.5</v>
      </c>
      <c r="H684" s="11"/>
      <c r="I684" s="119"/>
    </row>
    <row r="685" spans="1:9" s="5" customFormat="1" ht="22.5" customHeight="1">
      <c r="A685" s="43" t="s">
        <v>170</v>
      </c>
      <c r="B685" s="36" t="s">
        <v>14</v>
      </c>
      <c r="C685" s="44" t="s">
        <v>304</v>
      </c>
      <c r="D685" s="8" t="s">
        <v>169</v>
      </c>
      <c r="E685" s="54">
        <f>E686</f>
        <v>130.5</v>
      </c>
      <c r="F685" s="11"/>
      <c r="G685" s="54">
        <f>G686</f>
        <v>130.5</v>
      </c>
      <c r="H685" s="11"/>
      <c r="I685" s="119"/>
    </row>
    <row r="686" spans="1:9" s="5" customFormat="1" ht="33" customHeight="1">
      <c r="A686" s="43" t="s">
        <v>172</v>
      </c>
      <c r="B686" s="36" t="s">
        <v>14</v>
      </c>
      <c r="C686" s="44" t="s">
        <v>304</v>
      </c>
      <c r="D686" s="8" t="s">
        <v>171</v>
      </c>
      <c r="E686" s="54">
        <f>600-425-44.5</f>
        <v>130.5</v>
      </c>
      <c r="F686" s="11"/>
      <c r="G686" s="54">
        <v>130.5</v>
      </c>
      <c r="H686" s="11"/>
      <c r="I686" s="119"/>
    </row>
    <row r="687" spans="1:9" s="5" customFormat="1" ht="75.75" customHeight="1">
      <c r="A687" s="43" t="s">
        <v>703</v>
      </c>
      <c r="B687" s="36" t="s">
        <v>14</v>
      </c>
      <c r="C687" s="44" t="s">
        <v>702</v>
      </c>
      <c r="D687" s="8"/>
      <c r="E687" s="54">
        <f>E688</f>
        <v>302.7</v>
      </c>
      <c r="F687" s="11"/>
      <c r="G687" s="54">
        <f>G688</f>
        <v>236.2</v>
      </c>
      <c r="H687" s="11"/>
      <c r="I687" s="119"/>
    </row>
    <row r="688" spans="1:9" s="5" customFormat="1" ht="20.25" customHeight="1">
      <c r="A688" s="43" t="s">
        <v>170</v>
      </c>
      <c r="B688" s="36" t="s">
        <v>14</v>
      </c>
      <c r="C688" s="44" t="s">
        <v>702</v>
      </c>
      <c r="D688" s="8" t="s">
        <v>169</v>
      </c>
      <c r="E688" s="54">
        <f>E689</f>
        <v>302.7</v>
      </c>
      <c r="F688" s="11"/>
      <c r="G688" s="54">
        <f>G689</f>
        <v>236.2</v>
      </c>
      <c r="H688" s="11"/>
      <c r="I688" s="119"/>
    </row>
    <row r="689" spans="1:9" s="5" customFormat="1" ht="33" customHeight="1">
      <c r="A689" s="43" t="s">
        <v>172</v>
      </c>
      <c r="B689" s="36" t="s">
        <v>14</v>
      </c>
      <c r="C689" s="44" t="s">
        <v>702</v>
      </c>
      <c r="D689" s="8" t="s">
        <v>171</v>
      </c>
      <c r="E689" s="54">
        <f>143.6+19+140.1</f>
        <v>302.7</v>
      </c>
      <c r="F689" s="11"/>
      <c r="G689" s="54">
        <v>236.2</v>
      </c>
      <c r="H689" s="11"/>
      <c r="I689" s="119"/>
    </row>
    <row r="690" spans="1:9" s="5" customFormat="1" ht="48.75" customHeight="1">
      <c r="A690" s="57" t="s">
        <v>253</v>
      </c>
      <c r="B690" s="36" t="s">
        <v>14</v>
      </c>
      <c r="C690" s="44" t="s">
        <v>213</v>
      </c>
      <c r="D690" s="36"/>
      <c r="E690" s="37">
        <f>E691+E693+E695</f>
        <v>8887.5</v>
      </c>
      <c r="F690" s="11"/>
      <c r="G690" s="37">
        <f>G691+G693+G695</f>
        <v>8869.8</v>
      </c>
      <c r="H690" s="11"/>
      <c r="I690" s="119"/>
    </row>
    <row r="691" spans="1:9" s="5" customFormat="1" ht="61.5" customHeight="1">
      <c r="A691" s="55" t="s">
        <v>320</v>
      </c>
      <c r="B691" s="36" t="s">
        <v>14</v>
      </c>
      <c r="C691" s="44" t="s">
        <v>213</v>
      </c>
      <c r="D691" s="36" t="s">
        <v>175</v>
      </c>
      <c r="E691" s="37">
        <f>E692</f>
        <v>8372.5</v>
      </c>
      <c r="F691" s="11"/>
      <c r="G691" s="37">
        <f>G692</f>
        <v>8372.3</v>
      </c>
      <c r="H691" s="11"/>
      <c r="I691" s="119"/>
    </row>
    <row r="692" spans="1:9" s="5" customFormat="1" ht="24.75" customHeight="1">
      <c r="A692" s="55" t="s">
        <v>322</v>
      </c>
      <c r="B692" s="36" t="s">
        <v>14</v>
      </c>
      <c r="C692" s="44" t="s">
        <v>213</v>
      </c>
      <c r="D692" s="36" t="s">
        <v>321</v>
      </c>
      <c r="E692" s="37">
        <f>7862.5+510</f>
        <v>8372.5</v>
      </c>
      <c r="F692" s="11"/>
      <c r="G692" s="37">
        <v>8372.3</v>
      </c>
      <c r="H692" s="11"/>
      <c r="I692" s="119"/>
    </row>
    <row r="693" spans="1:9" s="5" customFormat="1" ht="29.25" customHeight="1">
      <c r="A693" s="55" t="s">
        <v>170</v>
      </c>
      <c r="B693" s="36" t="s">
        <v>14</v>
      </c>
      <c r="C693" s="44" t="s">
        <v>213</v>
      </c>
      <c r="D693" s="36" t="s">
        <v>169</v>
      </c>
      <c r="E693" s="37">
        <f>E694</f>
        <v>385</v>
      </c>
      <c r="F693" s="11"/>
      <c r="G693" s="37">
        <f>G694</f>
        <v>381.8</v>
      </c>
      <c r="H693" s="11"/>
      <c r="I693" s="119"/>
    </row>
    <row r="694" spans="1:9" s="5" customFormat="1" ht="33" customHeight="1">
      <c r="A694" s="55" t="s">
        <v>172</v>
      </c>
      <c r="B694" s="36" t="s">
        <v>14</v>
      </c>
      <c r="C694" s="44" t="s">
        <v>213</v>
      </c>
      <c r="D694" s="36" t="s">
        <v>171</v>
      </c>
      <c r="E694" s="37">
        <f>365+25-5</f>
        <v>385</v>
      </c>
      <c r="F694" s="11"/>
      <c r="G694" s="37">
        <v>381.8</v>
      </c>
      <c r="H694" s="11"/>
      <c r="I694" s="119"/>
    </row>
    <row r="695" spans="1:9" s="5" customFormat="1" ht="21.75" customHeight="1">
      <c r="A695" s="55" t="s">
        <v>174</v>
      </c>
      <c r="B695" s="36" t="s">
        <v>14</v>
      </c>
      <c r="C695" s="44" t="s">
        <v>213</v>
      </c>
      <c r="D695" s="36" t="s">
        <v>173</v>
      </c>
      <c r="E695" s="37">
        <f>E696</f>
        <v>130</v>
      </c>
      <c r="F695" s="11"/>
      <c r="G695" s="37">
        <f>G696</f>
        <v>115.7</v>
      </c>
      <c r="H695" s="11"/>
      <c r="I695" s="119"/>
    </row>
    <row r="696" spans="1:9" s="5" customFormat="1" ht="25.5" customHeight="1">
      <c r="A696" s="55" t="s">
        <v>324</v>
      </c>
      <c r="B696" s="36" t="s">
        <v>14</v>
      </c>
      <c r="C696" s="44" t="s">
        <v>213</v>
      </c>
      <c r="D696" s="36" t="s">
        <v>323</v>
      </c>
      <c r="E696" s="37">
        <f>50+75+5</f>
        <v>130</v>
      </c>
      <c r="F696" s="11"/>
      <c r="G696" s="37">
        <v>115.7</v>
      </c>
      <c r="H696" s="11"/>
      <c r="I696" s="119"/>
    </row>
    <row r="697" spans="1:9" s="5" customFormat="1" ht="66.75" customHeight="1">
      <c r="A697" s="57" t="s">
        <v>524</v>
      </c>
      <c r="B697" s="36" t="s">
        <v>14</v>
      </c>
      <c r="C697" s="36" t="s">
        <v>525</v>
      </c>
      <c r="D697" s="44"/>
      <c r="E697" s="47">
        <f>E698</f>
        <v>16792.1</v>
      </c>
      <c r="F697" s="11"/>
      <c r="G697" s="47">
        <f>G698</f>
        <v>16617.9</v>
      </c>
      <c r="H697" s="11"/>
      <c r="I697" s="119"/>
    </row>
    <row r="698" spans="1:9" s="5" customFormat="1" ht="79.5" customHeight="1">
      <c r="A698" s="55" t="s">
        <v>527</v>
      </c>
      <c r="B698" s="36" t="s">
        <v>14</v>
      </c>
      <c r="C698" s="36" t="s">
        <v>526</v>
      </c>
      <c r="D698" s="44"/>
      <c r="E698" s="47">
        <f>E699+E701+E703</f>
        <v>16792.1</v>
      </c>
      <c r="F698" s="11"/>
      <c r="G698" s="47">
        <f>G699+G701+G703</f>
        <v>16617.9</v>
      </c>
      <c r="H698" s="11"/>
      <c r="I698" s="119"/>
    </row>
    <row r="699" spans="1:9" s="5" customFormat="1" ht="45" customHeight="1">
      <c r="A699" s="55" t="s">
        <v>320</v>
      </c>
      <c r="B699" s="36" t="s">
        <v>14</v>
      </c>
      <c r="C699" s="36" t="s">
        <v>526</v>
      </c>
      <c r="D699" s="44" t="s">
        <v>175</v>
      </c>
      <c r="E699" s="47">
        <f>E700</f>
        <v>4383.8</v>
      </c>
      <c r="F699" s="10"/>
      <c r="G699" s="47">
        <f>G700</f>
        <v>4383.8</v>
      </c>
      <c r="H699" s="10"/>
      <c r="I699" s="119"/>
    </row>
    <row r="700" spans="1:9" s="5" customFormat="1" ht="25.5" customHeight="1">
      <c r="A700" s="55" t="s">
        <v>322</v>
      </c>
      <c r="B700" s="36" t="s">
        <v>14</v>
      </c>
      <c r="C700" s="36" t="s">
        <v>526</v>
      </c>
      <c r="D700" s="36" t="s">
        <v>321</v>
      </c>
      <c r="E700" s="50">
        <f>4213.8+170</f>
        <v>4383.8</v>
      </c>
      <c r="F700" s="10"/>
      <c r="G700" s="50">
        <v>4383.8</v>
      </c>
      <c r="H700" s="10"/>
      <c r="I700" s="119"/>
    </row>
    <row r="701" spans="1:9" s="5" customFormat="1" ht="25.5" customHeight="1">
      <c r="A701" s="55" t="s">
        <v>170</v>
      </c>
      <c r="B701" s="36" t="s">
        <v>14</v>
      </c>
      <c r="C701" s="36" t="s">
        <v>526</v>
      </c>
      <c r="D701" s="36" t="s">
        <v>169</v>
      </c>
      <c r="E701" s="50">
        <f>E702</f>
        <v>12403.3</v>
      </c>
      <c r="F701" s="10"/>
      <c r="G701" s="50">
        <f>G702</f>
        <v>12229.1</v>
      </c>
      <c r="H701" s="10"/>
      <c r="I701" s="119"/>
    </row>
    <row r="702" spans="1:9" s="5" customFormat="1" ht="33" customHeight="1">
      <c r="A702" s="55" t="s">
        <v>172</v>
      </c>
      <c r="B702" s="36" t="s">
        <v>14</v>
      </c>
      <c r="C702" s="36" t="s">
        <v>526</v>
      </c>
      <c r="D702" s="36" t="s">
        <v>171</v>
      </c>
      <c r="E702" s="50">
        <f>10768.3+1800-170+5</f>
        <v>12403.3</v>
      </c>
      <c r="F702" s="10"/>
      <c r="G702" s="50">
        <v>12229.1</v>
      </c>
      <c r="H702" s="10"/>
      <c r="I702" s="119"/>
    </row>
    <row r="703" spans="1:9" s="5" customFormat="1" ht="25.5" customHeight="1">
      <c r="A703" s="55" t="s">
        <v>174</v>
      </c>
      <c r="B703" s="36" t="s">
        <v>14</v>
      </c>
      <c r="C703" s="36" t="s">
        <v>526</v>
      </c>
      <c r="D703" s="36" t="s">
        <v>173</v>
      </c>
      <c r="E703" s="50">
        <f>E704</f>
        <v>5</v>
      </c>
      <c r="F703" s="10"/>
      <c r="G703" s="50">
        <f>G704</f>
        <v>5</v>
      </c>
      <c r="H703" s="10"/>
      <c r="I703" s="119"/>
    </row>
    <row r="704" spans="1:9" s="5" customFormat="1" ht="25.5" customHeight="1">
      <c r="A704" s="55" t="s">
        <v>324</v>
      </c>
      <c r="B704" s="36" t="s">
        <v>14</v>
      </c>
      <c r="C704" s="36" t="s">
        <v>526</v>
      </c>
      <c r="D704" s="36" t="s">
        <v>323</v>
      </c>
      <c r="E704" s="50">
        <f>10-5</f>
        <v>5</v>
      </c>
      <c r="F704" s="10"/>
      <c r="G704" s="50">
        <v>5</v>
      </c>
      <c r="H704" s="10"/>
      <c r="I704" s="119"/>
    </row>
    <row r="705" spans="1:9" s="1" customFormat="1" ht="31.5" customHeight="1">
      <c r="A705" s="56" t="s">
        <v>118</v>
      </c>
      <c r="B705" s="60" t="s">
        <v>148</v>
      </c>
      <c r="C705" s="60"/>
      <c r="D705" s="60"/>
      <c r="E705" s="11">
        <f>E707+E718+E713</f>
        <v>22262</v>
      </c>
      <c r="F705" s="11">
        <f>F707+F718+F713</f>
        <v>9630</v>
      </c>
      <c r="G705" s="11">
        <f>G707+G718+G713</f>
        <v>22148.100000000002</v>
      </c>
      <c r="H705" s="11">
        <f>H707+H718+H713</f>
        <v>9578.900000000001</v>
      </c>
      <c r="I705" s="16">
        <f>G705/E705*100</f>
        <v>99.48836582517295</v>
      </c>
    </row>
    <row r="706" spans="1:9" s="1" customFormat="1" ht="33" customHeight="1">
      <c r="A706" s="65" t="s">
        <v>442</v>
      </c>
      <c r="B706" s="8" t="s">
        <v>148</v>
      </c>
      <c r="C706" s="8" t="s">
        <v>443</v>
      </c>
      <c r="D706" s="8"/>
      <c r="E706" s="101">
        <f aca="true" t="shared" si="31" ref="E706:H707">E707</f>
        <v>9018</v>
      </c>
      <c r="F706" s="101">
        <f t="shared" si="31"/>
        <v>9018</v>
      </c>
      <c r="G706" s="101">
        <f t="shared" si="31"/>
        <v>8966.900000000001</v>
      </c>
      <c r="H706" s="101">
        <f t="shared" si="31"/>
        <v>8966.900000000001</v>
      </c>
      <c r="I706" s="120"/>
    </row>
    <row r="707" spans="1:9" s="1" customFormat="1" ht="64.5" customHeight="1">
      <c r="A707" s="43" t="s">
        <v>400</v>
      </c>
      <c r="B707" s="8" t="s">
        <v>148</v>
      </c>
      <c r="C707" s="8" t="s">
        <v>448</v>
      </c>
      <c r="D707" s="8"/>
      <c r="E707" s="54">
        <f t="shared" si="31"/>
        <v>9018</v>
      </c>
      <c r="F707" s="54">
        <f t="shared" si="31"/>
        <v>9018</v>
      </c>
      <c r="G707" s="54">
        <f t="shared" si="31"/>
        <v>8966.900000000001</v>
      </c>
      <c r="H707" s="54">
        <f t="shared" si="31"/>
        <v>8966.900000000001</v>
      </c>
      <c r="I707" s="120"/>
    </row>
    <row r="708" spans="1:9" s="1" customFormat="1" ht="45.75" customHeight="1">
      <c r="A708" s="43" t="s">
        <v>401</v>
      </c>
      <c r="B708" s="8" t="s">
        <v>148</v>
      </c>
      <c r="C708" s="8" t="s">
        <v>448</v>
      </c>
      <c r="D708" s="8"/>
      <c r="E708" s="54">
        <f>E709+E711</f>
        <v>9018</v>
      </c>
      <c r="F708" s="54">
        <f>F709+F711</f>
        <v>9018</v>
      </c>
      <c r="G708" s="54">
        <f>G709+G711</f>
        <v>8966.900000000001</v>
      </c>
      <c r="H708" s="54">
        <f>H709+H711</f>
        <v>8966.900000000001</v>
      </c>
      <c r="I708" s="120"/>
    </row>
    <row r="709" spans="1:9" s="1" customFormat="1" ht="58.5" customHeight="1">
      <c r="A709" s="40" t="s">
        <v>320</v>
      </c>
      <c r="B709" s="8" t="s">
        <v>148</v>
      </c>
      <c r="C709" s="8" t="s">
        <v>448</v>
      </c>
      <c r="D709" s="8" t="s">
        <v>175</v>
      </c>
      <c r="E709" s="54">
        <f>E710</f>
        <v>8647.2</v>
      </c>
      <c r="F709" s="54">
        <f>F710</f>
        <v>8647.2</v>
      </c>
      <c r="G709" s="54">
        <f>G710</f>
        <v>8633.7</v>
      </c>
      <c r="H709" s="54">
        <f>H710</f>
        <v>8633.7</v>
      </c>
      <c r="I709" s="120"/>
    </row>
    <row r="710" spans="1:9" s="1" customFormat="1" ht="22.5" customHeight="1">
      <c r="A710" s="55" t="s">
        <v>168</v>
      </c>
      <c r="B710" s="8" t="s">
        <v>148</v>
      </c>
      <c r="C710" s="8" t="s">
        <v>448</v>
      </c>
      <c r="D710" s="8" t="s">
        <v>167</v>
      </c>
      <c r="E710" s="54">
        <v>8647.2</v>
      </c>
      <c r="F710" s="54">
        <f>E710</f>
        <v>8647.2</v>
      </c>
      <c r="G710" s="54">
        <v>8633.7</v>
      </c>
      <c r="H710" s="54">
        <f>G710</f>
        <v>8633.7</v>
      </c>
      <c r="I710" s="120"/>
    </row>
    <row r="711" spans="1:9" s="1" customFormat="1" ht="20.25" customHeight="1">
      <c r="A711" s="43" t="s">
        <v>170</v>
      </c>
      <c r="B711" s="8" t="s">
        <v>148</v>
      </c>
      <c r="C711" s="8" t="s">
        <v>448</v>
      </c>
      <c r="D711" s="8" t="s">
        <v>169</v>
      </c>
      <c r="E711" s="54">
        <f>E712</f>
        <v>370.8</v>
      </c>
      <c r="F711" s="54">
        <f>F712</f>
        <v>370.8</v>
      </c>
      <c r="G711" s="54">
        <f>G712</f>
        <v>333.2</v>
      </c>
      <c r="H711" s="54">
        <f>H712</f>
        <v>333.2</v>
      </c>
      <c r="I711" s="120"/>
    </row>
    <row r="712" spans="1:9" s="1" customFormat="1" ht="30.75" customHeight="1">
      <c r="A712" s="55" t="s">
        <v>172</v>
      </c>
      <c r="B712" s="36" t="s">
        <v>148</v>
      </c>
      <c r="C712" s="8" t="s">
        <v>448</v>
      </c>
      <c r="D712" s="36" t="s">
        <v>171</v>
      </c>
      <c r="E712" s="37">
        <v>370.8</v>
      </c>
      <c r="F712" s="37">
        <f>E712</f>
        <v>370.8</v>
      </c>
      <c r="G712" s="37">
        <v>333.2</v>
      </c>
      <c r="H712" s="37">
        <f>G712</f>
        <v>333.2</v>
      </c>
      <c r="I712" s="120"/>
    </row>
    <row r="713" spans="1:9" s="1" customFormat="1" ht="33.75" customHeight="1">
      <c r="A713" s="43" t="s">
        <v>470</v>
      </c>
      <c r="B713" s="36" t="s">
        <v>148</v>
      </c>
      <c r="C713" s="8" t="s">
        <v>437</v>
      </c>
      <c r="D713" s="8"/>
      <c r="E713" s="54">
        <f aca="true" t="shared" si="32" ref="E713:H716">E714</f>
        <v>612</v>
      </c>
      <c r="F713" s="54">
        <f t="shared" si="32"/>
        <v>612</v>
      </c>
      <c r="G713" s="54">
        <f t="shared" si="32"/>
        <v>612</v>
      </c>
      <c r="H713" s="54">
        <f t="shared" si="32"/>
        <v>612</v>
      </c>
      <c r="I713" s="120"/>
    </row>
    <row r="714" spans="1:9" s="1" customFormat="1" ht="20.25" customHeight="1">
      <c r="A714" s="43" t="s">
        <v>460</v>
      </c>
      <c r="B714" s="36" t="s">
        <v>148</v>
      </c>
      <c r="C714" s="8" t="s">
        <v>461</v>
      </c>
      <c r="D714" s="8"/>
      <c r="E714" s="54">
        <f t="shared" si="32"/>
        <v>612</v>
      </c>
      <c r="F714" s="54">
        <f t="shared" si="32"/>
        <v>612</v>
      </c>
      <c r="G714" s="54">
        <f t="shared" si="32"/>
        <v>612</v>
      </c>
      <c r="H714" s="54">
        <f t="shared" si="32"/>
        <v>612</v>
      </c>
      <c r="I714" s="120"/>
    </row>
    <row r="715" spans="1:9" s="1" customFormat="1" ht="48" customHeight="1">
      <c r="A715" s="43" t="s">
        <v>436</v>
      </c>
      <c r="B715" s="36" t="s">
        <v>148</v>
      </c>
      <c r="C715" s="8" t="s">
        <v>462</v>
      </c>
      <c r="D715" s="8"/>
      <c r="E715" s="50">
        <f t="shared" si="32"/>
        <v>612</v>
      </c>
      <c r="F715" s="50">
        <f t="shared" si="32"/>
        <v>612</v>
      </c>
      <c r="G715" s="50">
        <f t="shared" si="32"/>
        <v>612</v>
      </c>
      <c r="H715" s="50">
        <f t="shared" si="32"/>
        <v>612</v>
      </c>
      <c r="I715" s="120"/>
    </row>
    <row r="716" spans="1:9" s="1" customFormat="1" ht="63.75" customHeight="1">
      <c r="A716" s="40" t="s">
        <v>320</v>
      </c>
      <c r="B716" s="36" t="s">
        <v>148</v>
      </c>
      <c r="C716" s="8" t="s">
        <v>462</v>
      </c>
      <c r="D716" s="8" t="s">
        <v>175</v>
      </c>
      <c r="E716" s="50">
        <f t="shared" si="32"/>
        <v>612</v>
      </c>
      <c r="F716" s="50">
        <f t="shared" si="32"/>
        <v>612</v>
      </c>
      <c r="G716" s="50">
        <f t="shared" si="32"/>
        <v>612</v>
      </c>
      <c r="H716" s="50">
        <f t="shared" si="32"/>
        <v>612</v>
      </c>
      <c r="I716" s="120"/>
    </row>
    <row r="717" spans="1:9" s="1" customFormat="1" ht="21.75" customHeight="1">
      <c r="A717" s="40" t="s">
        <v>322</v>
      </c>
      <c r="B717" s="36" t="s">
        <v>148</v>
      </c>
      <c r="C717" s="8" t="s">
        <v>462</v>
      </c>
      <c r="D717" s="8" t="s">
        <v>167</v>
      </c>
      <c r="E717" s="47">
        <f>540+72</f>
        <v>612</v>
      </c>
      <c r="F717" s="47">
        <f>E717</f>
        <v>612</v>
      </c>
      <c r="G717" s="47">
        <v>612</v>
      </c>
      <c r="H717" s="47">
        <f>G717</f>
        <v>612</v>
      </c>
      <c r="I717" s="120"/>
    </row>
    <row r="718" spans="1:9" s="1" customFormat="1" ht="45" customHeight="1">
      <c r="A718" s="43" t="s">
        <v>10</v>
      </c>
      <c r="B718" s="36" t="s">
        <v>148</v>
      </c>
      <c r="C718" s="45" t="s">
        <v>34</v>
      </c>
      <c r="D718" s="45"/>
      <c r="E718" s="41">
        <f>E719</f>
        <v>12632</v>
      </c>
      <c r="F718" s="41">
        <f>F719</f>
        <v>0</v>
      </c>
      <c r="G718" s="41">
        <f>G719</f>
        <v>12569.2</v>
      </c>
      <c r="H718" s="41">
        <f>H719</f>
        <v>0</v>
      </c>
      <c r="I718" s="120"/>
    </row>
    <row r="719" spans="1:9" s="1" customFormat="1" ht="32.25" customHeight="1">
      <c r="A719" s="43" t="s">
        <v>17</v>
      </c>
      <c r="B719" s="36" t="s">
        <v>148</v>
      </c>
      <c r="C719" s="45" t="s">
        <v>190</v>
      </c>
      <c r="D719" s="45"/>
      <c r="E719" s="50">
        <f>E720</f>
        <v>12632</v>
      </c>
      <c r="F719" s="93"/>
      <c r="G719" s="50">
        <f>G720</f>
        <v>12569.2</v>
      </c>
      <c r="H719" s="93"/>
      <c r="I719" s="120"/>
    </row>
    <row r="720" spans="1:9" s="1" customFormat="1" ht="19.5" customHeight="1">
      <c r="A720" s="43" t="s">
        <v>170</v>
      </c>
      <c r="B720" s="36" t="s">
        <v>148</v>
      </c>
      <c r="C720" s="45" t="s">
        <v>190</v>
      </c>
      <c r="D720" s="45" t="s">
        <v>169</v>
      </c>
      <c r="E720" s="50">
        <f>E721</f>
        <v>12632</v>
      </c>
      <c r="F720" s="93"/>
      <c r="G720" s="50">
        <f>G721</f>
        <v>12569.2</v>
      </c>
      <c r="H720" s="93"/>
      <c r="I720" s="120"/>
    </row>
    <row r="721" spans="1:9" s="1" customFormat="1" ht="33" customHeight="1">
      <c r="A721" s="55" t="s">
        <v>172</v>
      </c>
      <c r="B721" s="36" t="s">
        <v>148</v>
      </c>
      <c r="C721" s="45" t="s">
        <v>190</v>
      </c>
      <c r="D721" s="44" t="s">
        <v>171</v>
      </c>
      <c r="E721" s="47">
        <f>13132-500</f>
        <v>12632</v>
      </c>
      <c r="F721" s="80"/>
      <c r="G721" s="47">
        <v>12569.2</v>
      </c>
      <c r="H721" s="80"/>
      <c r="I721" s="120"/>
    </row>
    <row r="722" spans="1:9" s="1" customFormat="1" ht="27.75" customHeight="1">
      <c r="A722" s="20" t="s">
        <v>119</v>
      </c>
      <c r="B722" s="17" t="s">
        <v>92</v>
      </c>
      <c r="C722" s="17"/>
      <c r="D722" s="17"/>
      <c r="E722" s="18">
        <f>E723</f>
        <v>33539.87</v>
      </c>
      <c r="F722" s="18">
        <f>F723</f>
        <v>18382.67</v>
      </c>
      <c r="G722" s="18">
        <f>G723</f>
        <v>32736.4</v>
      </c>
      <c r="H722" s="18">
        <f>H723</f>
        <v>18382.7</v>
      </c>
      <c r="I722" s="16">
        <f>G722/E722*100</f>
        <v>97.60443317162529</v>
      </c>
    </row>
    <row r="723" spans="1:9" s="1" customFormat="1" ht="28.5" customHeight="1">
      <c r="A723" s="61" t="s">
        <v>137</v>
      </c>
      <c r="B723" s="60" t="s">
        <v>149</v>
      </c>
      <c r="C723" s="60"/>
      <c r="D723" s="60"/>
      <c r="E723" s="11">
        <f>E728+E724+E749</f>
        <v>33539.87</v>
      </c>
      <c r="F723" s="11">
        <f>F728+F724+F749</f>
        <v>18382.67</v>
      </c>
      <c r="G723" s="11">
        <f>G728+G724+G749</f>
        <v>32736.4</v>
      </c>
      <c r="H723" s="11">
        <f>H728+H724+H749</f>
        <v>18382.7</v>
      </c>
      <c r="I723" s="16">
        <f>G723/E723*100</f>
        <v>97.60443317162529</v>
      </c>
    </row>
    <row r="724" spans="1:9" s="1" customFormat="1" ht="75.75" customHeight="1">
      <c r="A724" s="33" t="s">
        <v>261</v>
      </c>
      <c r="B724" s="36" t="s">
        <v>149</v>
      </c>
      <c r="C724" s="36" t="s">
        <v>36</v>
      </c>
      <c r="D724" s="36"/>
      <c r="E724" s="37">
        <f>E725</f>
        <v>1307.2</v>
      </c>
      <c r="F724" s="37"/>
      <c r="G724" s="37">
        <f>G725</f>
        <v>1307.2</v>
      </c>
      <c r="H724" s="37"/>
      <c r="I724" s="120"/>
    </row>
    <row r="725" spans="1:9" s="1" customFormat="1" ht="75.75" customHeight="1">
      <c r="A725" s="33" t="s">
        <v>483</v>
      </c>
      <c r="B725" s="36" t="s">
        <v>149</v>
      </c>
      <c r="C725" s="36" t="s">
        <v>37</v>
      </c>
      <c r="D725" s="8"/>
      <c r="E725" s="37">
        <f>E726</f>
        <v>1307.2</v>
      </c>
      <c r="F725" s="37"/>
      <c r="G725" s="37">
        <f>G726</f>
        <v>1307.2</v>
      </c>
      <c r="H725" s="37"/>
      <c r="I725" s="120"/>
    </row>
    <row r="726" spans="1:9" s="1" customFormat="1" ht="18.75" customHeight="1">
      <c r="A726" s="43" t="s">
        <v>170</v>
      </c>
      <c r="B726" s="36" t="s">
        <v>149</v>
      </c>
      <c r="C726" s="36" t="s">
        <v>37</v>
      </c>
      <c r="D726" s="35" t="s">
        <v>169</v>
      </c>
      <c r="E726" s="37">
        <f>E727</f>
        <v>1307.2</v>
      </c>
      <c r="F726" s="37"/>
      <c r="G726" s="37">
        <f>G727</f>
        <v>1307.2</v>
      </c>
      <c r="H726" s="37"/>
      <c r="I726" s="120"/>
    </row>
    <row r="727" spans="1:9" s="1" customFormat="1" ht="33.75" customHeight="1">
      <c r="A727" s="43" t="s">
        <v>172</v>
      </c>
      <c r="B727" s="36" t="s">
        <v>149</v>
      </c>
      <c r="C727" s="36" t="s">
        <v>37</v>
      </c>
      <c r="D727" s="35" t="s">
        <v>171</v>
      </c>
      <c r="E727" s="37">
        <f>1500-192.8</f>
        <v>1307.2</v>
      </c>
      <c r="F727" s="37"/>
      <c r="G727" s="37">
        <v>1307.2</v>
      </c>
      <c r="H727" s="37"/>
      <c r="I727" s="120"/>
    </row>
    <row r="728" spans="1:9" s="1" customFormat="1" ht="45" customHeight="1">
      <c r="A728" s="49" t="s">
        <v>262</v>
      </c>
      <c r="B728" s="36" t="s">
        <v>149</v>
      </c>
      <c r="C728" s="44" t="s">
        <v>186</v>
      </c>
      <c r="D728" s="36"/>
      <c r="E728" s="37">
        <f>E729+E738+E741+E732+E735+E744</f>
        <v>22555.07</v>
      </c>
      <c r="F728" s="37">
        <f>F729+F738+F741+F732+F735</f>
        <v>8705.07</v>
      </c>
      <c r="G728" s="37">
        <f>G729+G738+G741+G732+G735+G744</f>
        <v>21751.600000000002</v>
      </c>
      <c r="H728" s="37">
        <f>H729+H738+H741+H732+H735</f>
        <v>8705.1</v>
      </c>
      <c r="I728" s="120"/>
    </row>
    <row r="729" spans="1:9" s="1" customFormat="1" ht="22.5" customHeight="1">
      <c r="A729" s="49" t="s">
        <v>225</v>
      </c>
      <c r="B729" s="36" t="s">
        <v>149</v>
      </c>
      <c r="C729" s="44" t="s">
        <v>224</v>
      </c>
      <c r="D729" s="36"/>
      <c r="E729" s="37">
        <f>E730</f>
        <v>2212.0699999999997</v>
      </c>
      <c r="F729" s="37"/>
      <c r="G729" s="37">
        <f>G730</f>
        <v>1684.4</v>
      </c>
      <c r="H729" s="37"/>
      <c r="I729" s="120"/>
    </row>
    <row r="730" spans="1:9" s="1" customFormat="1" ht="22.5" customHeight="1">
      <c r="A730" s="43" t="s">
        <v>170</v>
      </c>
      <c r="B730" s="36" t="s">
        <v>149</v>
      </c>
      <c r="C730" s="44" t="s">
        <v>224</v>
      </c>
      <c r="D730" s="36" t="s">
        <v>169</v>
      </c>
      <c r="E730" s="37">
        <f>E731</f>
        <v>2212.0699999999997</v>
      </c>
      <c r="F730" s="37"/>
      <c r="G730" s="37">
        <f>G731</f>
        <v>1684.4</v>
      </c>
      <c r="H730" s="37"/>
      <c r="I730" s="120"/>
    </row>
    <row r="731" spans="1:9" s="1" customFormat="1" ht="32.25" customHeight="1">
      <c r="A731" s="43" t="s">
        <v>172</v>
      </c>
      <c r="B731" s="36" t="s">
        <v>149</v>
      </c>
      <c r="C731" s="44" t="s">
        <v>224</v>
      </c>
      <c r="D731" s="36" t="s">
        <v>171</v>
      </c>
      <c r="E731" s="37">
        <f>3000-100.3+12.37-200-500</f>
        <v>2212.0699999999997</v>
      </c>
      <c r="F731" s="37"/>
      <c r="G731" s="37">
        <v>1684.4</v>
      </c>
      <c r="H731" s="37"/>
      <c r="I731" s="120"/>
    </row>
    <row r="732" spans="1:9" s="1" customFormat="1" ht="32.25" customHeight="1">
      <c r="A732" s="40" t="s">
        <v>628</v>
      </c>
      <c r="B732" s="36" t="s">
        <v>149</v>
      </c>
      <c r="C732" s="45" t="s">
        <v>627</v>
      </c>
      <c r="D732" s="45"/>
      <c r="E732" s="50">
        <f>E733</f>
        <v>6650</v>
      </c>
      <c r="F732" s="37"/>
      <c r="G732" s="50">
        <f>G733</f>
        <v>6648.8</v>
      </c>
      <c r="H732" s="37"/>
      <c r="I732" s="120"/>
    </row>
    <row r="733" spans="1:9" s="1" customFormat="1" ht="25.5" customHeight="1">
      <c r="A733" s="55" t="s">
        <v>170</v>
      </c>
      <c r="B733" s="36" t="s">
        <v>149</v>
      </c>
      <c r="C733" s="45" t="s">
        <v>627</v>
      </c>
      <c r="D733" s="45" t="s">
        <v>169</v>
      </c>
      <c r="E733" s="47">
        <f>E734</f>
        <v>6650</v>
      </c>
      <c r="F733" s="37"/>
      <c r="G733" s="47">
        <f>G734</f>
        <v>6648.8</v>
      </c>
      <c r="H733" s="37"/>
      <c r="I733" s="120"/>
    </row>
    <row r="734" spans="1:9" s="1" customFormat="1" ht="32.25" customHeight="1">
      <c r="A734" s="43" t="s">
        <v>172</v>
      </c>
      <c r="B734" s="36" t="s">
        <v>149</v>
      </c>
      <c r="C734" s="45" t="s">
        <v>627</v>
      </c>
      <c r="D734" s="45" t="s">
        <v>171</v>
      </c>
      <c r="E734" s="50">
        <f>2500+2500+1150+500</f>
        <v>6650</v>
      </c>
      <c r="F734" s="37"/>
      <c r="G734" s="50">
        <v>6648.8</v>
      </c>
      <c r="H734" s="37"/>
      <c r="I734" s="120"/>
    </row>
    <row r="735" spans="1:9" s="1" customFormat="1" ht="35.25" customHeight="1">
      <c r="A735" s="43" t="s">
        <v>629</v>
      </c>
      <c r="B735" s="36" t="s">
        <v>149</v>
      </c>
      <c r="C735" s="45" t="s">
        <v>630</v>
      </c>
      <c r="D735" s="45"/>
      <c r="E735" s="50">
        <f>E736</f>
        <v>300</v>
      </c>
      <c r="F735" s="50"/>
      <c r="G735" s="50">
        <f>G736</f>
        <v>229.7</v>
      </c>
      <c r="H735" s="50"/>
      <c r="I735" s="120"/>
    </row>
    <row r="736" spans="1:9" s="1" customFormat="1" ht="20.25" customHeight="1">
      <c r="A736" s="55" t="s">
        <v>170</v>
      </c>
      <c r="B736" s="36" t="s">
        <v>149</v>
      </c>
      <c r="C736" s="45" t="s">
        <v>630</v>
      </c>
      <c r="D736" s="45" t="s">
        <v>169</v>
      </c>
      <c r="E736" s="47">
        <f>E737</f>
        <v>300</v>
      </c>
      <c r="F736" s="50"/>
      <c r="G736" s="47">
        <f>G737</f>
        <v>229.7</v>
      </c>
      <c r="H736" s="50"/>
      <c r="I736" s="120"/>
    </row>
    <row r="737" spans="1:9" s="1" customFormat="1" ht="32.25" customHeight="1">
      <c r="A737" s="43" t="s">
        <v>172</v>
      </c>
      <c r="B737" s="36" t="s">
        <v>149</v>
      </c>
      <c r="C737" s="45" t="s">
        <v>630</v>
      </c>
      <c r="D737" s="45" t="s">
        <v>171</v>
      </c>
      <c r="E737" s="50">
        <f>100+200</f>
        <v>300</v>
      </c>
      <c r="F737" s="50"/>
      <c r="G737" s="50">
        <v>229.7</v>
      </c>
      <c r="H737" s="50"/>
      <c r="I737" s="120"/>
    </row>
    <row r="738" spans="1:9" s="1" customFormat="1" ht="33.75" customHeight="1">
      <c r="A738" s="43" t="s">
        <v>717</v>
      </c>
      <c r="B738" s="36" t="s">
        <v>149</v>
      </c>
      <c r="C738" s="44" t="s">
        <v>715</v>
      </c>
      <c r="D738" s="36"/>
      <c r="E738" s="37">
        <f aca="true" t="shared" si="33" ref="E738:H739">E739</f>
        <v>8705.07</v>
      </c>
      <c r="F738" s="37">
        <f t="shared" si="33"/>
        <v>8705.07</v>
      </c>
      <c r="G738" s="37">
        <f t="shared" si="33"/>
        <v>8705.1</v>
      </c>
      <c r="H738" s="37">
        <f t="shared" si="33"/>
        <v>8705.1</v>
      </c>
      <c r="I738" s="120"/>
    </row>
    <row r="739" spans="1:9" s="1" customFormat="1" ht="32.25" customHeight="1">
      <c r="A739" s="49" t="s">
        <v>328</v>
      </c>
      <c r="B739" s="36" t="s">
        <v>149</v>
      </c>
      <c r="C739" s="44" t="s">
        <v>715</v>
      </c>
      <c r="D739" s="36" t="s">
        <v>327</v>
      </c>
      <c r="E739" s="37">
        <f t="shared" si="33"/>
        <v>8705.07</v>
      </c>
      <c r="F739" s="37">
        <f t="shared" si="33"/>
        <v>8705.07</v>
      </c>
      <c r="G739" s="37">
        <f t="shared" si="33"/>
        <v>8705.1</v>
      </c>
      <c r="H739" s="37">
        <f t="shared" si="33"/>
        <v>8705.1</v>
      </c>
      <c r="I739" s="120"/>
    </row>
    <row r="740" spans="1:9" s="1" customFormat="1" ht="21" customHeight="1">
      <c r="A740" s="49" t="s">
        <v>326</v>
      </c>
      <c r="B740" s="36" t="s">
        <v>149</v>
      </c>
      <c r="C740" s="44" t="s">
        <v>715</v>
      </c>
      <c r="D740" s="36" t="s">
        <v>325</v>
      </c>
      <c r="E740" s="37">
        <f>9929.7-9929.7+8705.07</f>
        <v>8705.07</v>
      </c>
      <c r="F740" s="37">
        <f>E740</f>
        <v>8705.07</v>
      </c>
      <c r="G740" s="37">
        <v>8705.1</v>
      </c>
      <c r="H740" s="37">
        <f>G740</f>
        <v>8705.1</v>
      </c>
      <c r="I740" s="120"/>
    </row>
    <row r="741" spans="1:9" s="1" customFormat="1" ht="50.25" customHeight="1">
      <c r="A741" s="43" t="s">
        <v>718</v>
      </c>
      <c r="B741" s="36" t="s">
        <v>149</v>
      </c>
      <c r="C741" s="44" t="s">
        <v>715</v>
      </c>
      <c r="D741" s="36"/>
      <c r="E741" s="37">
        <f>E742</f>
        <v>87.92999999999999</v>
      </c>
      <c r="F741" s="37"/>
      <c r="G741" s="37">
        <f>G742</f>
        <v>87.9</v>
      </c>
      <c r="H741" s="37"/>
      <c r="I741" s="120"/>
    </row>
    <row r="742" spans="1:9" s="1" customFormat="1" ht="32.25" customHeight="1">
      <c r="A742" s="49" t="s">
        <v>328</v>
      </c>
      <c r="B742" s="36" t="s">
        <v>149</v>
      </c>
      <c r="C742" s="44" t="s">
        <v>715</v>
      </c>
      <c r="D742" s="36" t="s">
        <v>327</v>
      </c>
      <c r="E742" s="37">
        <f>E743</f>
        <v>87.92999999999999</v>
      </c>
      <c r="F742" s="37"/>
      <c r="G742" s="37">
        <f>G743</f>
        <v>87.9</v>
      </c>
      <c r="H742" s="37"/>
      <c r="I742" s="120"/>
    </row>
    <row r="743" spans="1:9" s="1" customFormat="1" ht="19.5" customHeight="1">
      <c r="A743" s="49" t="s">
        <v>326</v>
      </c>
      <c r="B743" s="36" t="s">
        <v>149</v>
      </c>
      <c r="C743" s="44" t="s">
        <v>715</v>
      </c>
      <c r="D743" s="36" t="s">
        <v>325</v>
      </c>
      <c r="E743" s="37">
        <f>100.3-12.37</f>
        <v>87.92999999999999</v>
      </c>
      <c r="F743" s="37">
        <v>0</v>
      </c>
      <c r="G743" s="37">
        <v>87.9</v>
      </c>
      <c r="H743" s="37">
        <v>0</v>
      </c>
      <c r="I743" s="120"/>
    </row>
    <row r="744" spans="1:9" s="1" customFormat="1" ht="33.75" customHeight="1">
      <c r="A744" s="43" t="s">
        <v>719</v>
      </c>
      <c r="B744" s="36" t="s">
        <v>149</v>
      </c>
      <c r="C744" s="44" t="s">
        <v>716</v>
      </c>
      <c r="D744" s="36"/>
      <c r="E744" s="37">
        <f>E747+E745</f>
        <v>4600</v>
      </c>
      <c r="F744" s="37"/>
      <c r="G744" s="37">
        <f>G747+G745</f>
        <v>4395.7</v>
      </c>
      <c r="H744" s="37"/>
      <c r="I744" s="120"/>
    </row>
    <row r="745" spans="1:9" s="1" customFormat="1" ht="24" customHeight="1">
      <c r="A745" s="43" t="s">
        <v>170</v>
      </c>
      <c r="B745" s="36" t="s">
        <v>149</v>
      </c>
      <c r="C745" s="44" t="s">
        <v>716</v>
      </c>
      <c r="D745" s="36" t="s">
        <v>169</v>
      </c>
      <c r="E745" s="37">
        <f>E746</f>
        <v>250</v>
      </c>
      <c r="F745" s="37"/>
      <c r="G745" s="37">
        <f>G746</f>
        <v>239</v>
      </c>
      <c r="H745" s="37"/>
      <c r="I745" s="120"/>
    </row>
    <row r="746" spans="1:9" s="1" customFormat="1" ht="33.75" customHeight="1">
      <c r="A746" s="43" t="s">
        <v>172</v>
      </c>
      <c r="B746" s="36" t="s">
        <v>149</v>
      </c>
      <c r="C746" s="44" t="s">
        <v>716</v>
      </c>
      <c r="D746" s="36" t="s">
        <v>171</v>
      </c>
      <c r="E746" s="37">
        <v>250</v>
      </c>
      <c r="F746" s="37">
        <v>0</v>
      </c>
      <c r="G746" s="37">
        <v>239</v>
      </c>
      <c r="H746" s="37">
        <v>0</v>
      </c>
      <c r="I746" s="120"/>
    </row>
    <row r="747" spans="1:9" s="1" customFormat="1" ht="32.25" customHeight="1">
      <c r="A747" s="49" t="s">
        <v>328</v>
      </c>
      <c r="B747" s="36" t="s">
        <v>149</v>
      </c>
      <c r="C747" s="44" t="s">
        <v>716</v>
      </c>
      <c r="D747" s="36" t="s">
        <v>327</v>
      </c>
      <c r="E747" s="37">
        <f>E748</f>
        <v>4350</v>
      </c>
      <c r="F747" s="37"/>
      <c r="G747" s="37">
        <f>G748</f>
        <v>4156.7</v>
      </c>
      <c r="H747" s="37"/>
      <c r="I747" s="120"/>
    </row>
    <row r="748" spans="1:9" s="1" customFormat="1" ht="19.5" customHeight="1">
      <c r="A748" s="49" t="s">
        <v>326</v>
      </c>
      <c r="B748" s="36" t="s">
        <v>149</v>
      </c>
      <c r="C748" s="44" t="s">
        <v>716</v>
      </c>
      <c r="D748" s="36" t="s">
        <v>325</v>
      </c>
      <c r="E748" s="37">
        <f>6600-2000-250</f>
        <v>4350</v>
      </c>
      <c r="F748" s="37">
        <v>0</v>
      </c>
      <c r="G748" s="37">
        <v>4156.7</v>
      </c>
      <c r="H748" s="37">
        <v>0</v>
      </c>
      <c r="I748" s="120"/>
    </row>
    <row r="749" spans="1:9" s="1" customFormat="1" ht="31.5" customHeight="1">
      <c r="A749" s="43" t="s">
        <v>470</v>
      </c>
      <c r="B749" s="36" t="s">
        <v>149</v>
      </c>
      <c r="C749" s="8" t="s">
        <v>437</v>
      </c>
      <c r="D749" s="36"/>
      <c r="E749" s="37">
        <f aca="true" t="shared" si="34" ref="E749:H752">E750</f>
        <v>9677.6</v>
      </c>
      <c r="F749" s="37">
        <f t="shared" si="34"/>
        <v>9677.6</v>
      </c>
      <c r="G749" s="37">
        <f t="shared" si="34"/>
        <v>9677.6</v>
      </c>
      <c r="H749" s="37">
        <f t="shared" si="34"/>
        <v>9677.6</v>
      </c>
      <c r="I749" s="120"/>
    </row>
    <row r="750" spans="1:9" s="1" customFormat="1" ht="19.5" customHeight="1">
      <c r="A750" s="43" t="s">
        <v>460</v>
      </c>
      <c r="B750" s="36" t="s">
        <v>149</v>
      </c>
      <c r="C750" s="8" t="s">
        <v>461</v>
      </c>
      <c r="D750" s="36"/>
      <c r="E750" s="37">
        <f>E751</f>
        <v>9677.6</v>
      </c>
      <c r="F750" s="37">
        <f t="shared" si="34"/>
        <v>9677.6</v>
      </c>
      <c r="G750" s="37">
        <f>G751</f>
        <v>9677.6</v>
      </c>
      <c r="H750" s="37">
        <f t="shared" si="34"/>
        <v>9677.6</v>
      </c>
      <c r="I750" s="120"/>
    </row>
    <row r="751" spans="1:9" s="1" customFormat="1" ht="31.5" customHeight="1">
      <c r="A751" s="40" t="s">
        <v>640</v>
      </c>
      <c r="B751" s="36" t="s">
        <v>149</v>
      </c>
      <c r="C751" s="36" t="s">
        <v>641</v>
      </c>
      <c r="D751" s="36"/>
      <c r="E751" s="37">
        <f t="shared" si="34"/>
        <v>9677.6</v>
      </c>
      <c r="F751" s="37">
        <f t="shared" si="34"/>
        <v>9677.6</v>
      </c>
      <c r="G751" s="37">
        <f t="shared" si="34"/>
        <v>9677.6</v>
      </c>
      <c r="H751" s="37">
        <f t="shared" si="34"/>
        <v>9677.6</v>
      </c>
      <c r="I751" s="120"/>
    </row>
    <row r="752" spans="1:9" s="1" customFormat="1" ht="19.5" customHeight="1">
      <c r="A752" s="55" t="s">
        <v>174</v>
      </c>
      <c r="B752" s="36" t="s">
        <v>149</v>
      </c>
      <c r="C752" s="36" t="s">
        <v>641</v>
      </c>
      <c r="D752" s="36" t="s">
        <v>173</v>
      </c>
      <c r="E752" s="37">
        <f t="shared" si="34"/>
        <v>9677.6</v>
      </c>
      <c r="F752" s="37">
        <f t="shared" si="34"/>
        <v>9677.6</v>
      </c>
      <c r="G752" s="37">
        <f t="shared" si="34"/>
        <v>9677.6</v>
      </c>
      <c r="H752" s="37">
        <f t="shared" si="34"/>
        <v>9677.6</v>
      </c>
      <c r="I752" s="120"/>
    </row>
    <row r="753" spans="1:9" s="1" customFormat="1" ht="48" customHeight="1">
      <c r="A753" s="39" t="s">
        <v>286</v>
      </c>
      <c r="B753" s="36" t="s">
        <v>149</v>
      </c>
      <c r="C753" s="36" t="s">
        <v>641</v>
      </c>
      <c r="D753" s="36" t="s">
        <v>48</v>
      </c>
      <c r="E753" s="37">
        <v>9677.6</v>
      </c>
      <c r="F753" s="37">
        <f>E753</f>
        <v>9677.6</v>
      </c>
      <c r="G753" s="37">
        <v>9677.6</v>
      </c>
      <c r="H753" s="37">
        <f>G753</f>
        <v>9677.6</v>
      </c>
      <c r="I753" s="120"/>
    </row>
    <row r="754" spans="1:9" s="1" customFormat="1" ht="22.5" customHeight="1">
      <c r="A754" s="19" t="s">
        <v>98</v>
      </c>
      <c r="B754" s="17" t="s">
        <v>93</v>
      </c>
      <c r="C754" s="17"/>
      <c r="D754" s="17"/>
      <c r="E754" s="18">
        <f>E755+E794+E933+E945+E894</f>
        <v>5627529.699999999</v>
      </c>
      <c r="F754" s="18">
        <f>F755+F794+F933+F945+F894</f>
        <v>3768290.1</v>
      </c>
      <c r="G754" s="18">
        <f>G755+G794+G933+G945+G894</f>
        <v>5381426.4</v>
      </c>
      <c r="H754" s="18">
        <f>H755+H794+H933+H945+H894</f>
        <v>3558618.5</v>
      </c>
      <c r="I754" s="16">
        <f>G754/E754*100</f>
        <v>95.62679695853052</v>
      </c>
    </row>
    <row r="755" spans="1:9" s="1" customFormat="1" ht="20.25" customHeight="1">
      <c r="A755" s="46" t="s">
        <v>99</v>
      </c>
      <c r="B755" s="62" t="s">
        <v>94</v>
      </c>
      <c r="C755" s="62"/>
      <c r="D755" s="62"/>
      <c r="E755" s="9">
        <f>E756+E787</f>
        <v>1676896.5999999999</v>
      </c>
      <c r="F755" s="9">
        <f>F756+F787</f>
        <v>1070723</v>
      </c>
      <c r="G755" s="9">
        <f>G756+G787</f>
        <v>1655544.5999999999</v>
      </c>
      <c r="H755" s="9">
        <f>H756+H787</f>
        <v>1049371</v>
      </c>
      <c r="I755" s="16">
        <f>G755/E755*100</f>
        <v>98.72669549213708</v>
      </c>
    </row>
    <row r="756" spans="1:9" s="1" customFormat="1" ht="44.25" customHeight="1">
      <c r="A756" s="49" t="s">
        <v>263</v>
      </c>
      <c r="B756" s="34" t="s">
        <v>94</v>
      </c>
      <c r="C756" s="8" t="s">
        <v>135</v>
      </c>
      <c r="D756" s="34"/>
      <c r="E756" s="63">
        <f>E757</f>
        <v>1668372.7</v>
      </c>
      <c r="F756" s="63">
        <f>F757</f>
        <v>1062974</v>
      </c>
      <c r="G756" s="63">
        <f>G757</f>
        <v>1647020.7</v>
      </c>
      <c r="H756" s="63">
        <f>H757</f>
        <v>1041622</v>
      </c>
      <c r="I756" s="120"/>
    </row>
    <row r="757" spans="1:9" s="1" customFormat="1" ht="20.25" customHeight="1">
      <c r="A757" s="57" t="s">
        <v>276</v>
      </c>
      <c r="B757" s="34" t="s">
        <v>94</v>
      </c>
      <c r="C757" s="36" t="s">
        <v>136</v>
      </c>
      <c r="D757" s="34"/>
      <c r="E757" s="63">
        <f>E764+E770+E758+E767+E761</f>
        <v>1668372.7</v>
      </c>
      <c r="F757" s="63">
        <f>F764+F770+F758+F767+F761</f>
        <v>1062974</v>
      </c>
      <c r="G757" s="63">
        <f>G764+G770+G758+G767+G761</f>
        <v>1647020.7</v>
      </c>
      <c r="H757" s="63">
        <f>H764+H770+H758+H767+H761</f>
        <v>1041622</v>
      </c>
      <c r="I757" s="120"/>
    </row>
    <row r="758" spans="1:9" s="1" customFormat="1" ht="47.25" customHeight="1">
      <c r="A758" s="48" t="s">
        <v>617</v>
      </c>
      <c r="B758" s="34" t="s">
        <v>94</v>
      </c>
      <c r="C758" s="36" t="s">
        <v>644</v>
      </c>
      <c r="D758" s="34"/>
      <c r="E758" s="41">
        <f aca="true" t="shared" si="35" ref="E758:H759">E759</f>
        <v>3585</v>
      </c>
      <c r="F758" s="41">
        <f t="shared" si="35"/>
        <v>3585</v>
      </c>
      <c r="G758" s="41">
        <f t="shared" si="35"/>
        <v>3585</v>
      </c>
      <c r="H758" s="41">
        <f t="shared" si="35"/>
        <v>3585</v>
      </c>
      <c r="I758" s="120"/>
    </row>
    <row r="759" spans="1:9" s="1" customFormat="1" ht="30.75" customHeight="1">
      <c r="A759" s="57" t="s">
        <v>328</v>
      </c>
      <c r="B759" s="34" t="s">
        <v>94</v>
      </c>
      <c r="C759" s="36" t="s">
        <v>644</v>
      </c>
      <c r="D759" s="34" t="s">
        <v>327</v>
      </c>
      <c r="E759" s="41">
        <f t="shared" si="35"/>
        <v>3585</v>
      </c>
      <c r="F759" s="41">
        <f t="shared" si="35"/>
        <v>3585</v>
      </c>
      <c r="G759" s="41">
        <f t="shared" si="35"/>
        <v>3585</v>
      </c>
      <c r="H759" s="41">
        <f t="shared" si="35"/>
        <v>3585</v>
      </c>
      <c r="I759" s="120"/>
    </row>
    <row r="760" spans="1:9" s="1" customFormat="1" ht="20.25" customHeight="1">
      <c r="A760" s="57" t="s">
        <v>326</v>
      </c>
      <c r="B760" s="34" t="s">
        <v>94</v>
      </c>
      <c r="C760" s="36" t="s">
        <v>644</v>
      </c>
      <c r="D760" s="34" t="s">
        <v>325</v>
      </c>
      <c r="E760" s="41">
        <f>3485+100</f>
        <v>3585</v>
      </c>
      <c r="F760" s="41">
        <f>E760</f>
        <v>3585</v>
      </c>
      <c r="G760" s="41">
        <v>3585</v>
      </c>
      <c r="H760" s="41">
        <f>G760</f>
        <v>3585</v>
      </c>
      <c r="I760" s="120"/>
    </row>
    <row r="761" spans="1:9" s="1" customFormat="1" ht="24.75" customHeight="1">
      <c r="A761" s="48" t="s">
        <v>749</v>
      </c>
      <c r="B761" s="34" t="s">
        <v>94</v>
      </c>
      <c r="C761" s="36" t="s">
        <v>732</v>
      </c>
      <c r="D761" s="34"/>
      <c r="E761" s="41">
        <f aca="true" t="shared" si="36" ref="E761:H762">E762</f>
        <v>37440</v>
      </c>
      <c r="F761" s="41">
        <f t="shared" si="36"/>
        <v>37440</v>
      </c>
      <c r="G761" s="41">
        <f t="shared" si="36"/>
        <v>37440</v>
      </c>
      <c r="H761" s="41">
        <f t="shared" si="36"/>
        <v>37440</v>
      </c>
      <c r="I761" s="120"/>
    </row>
    <row r="762" spans="1:9" s="1" customFormat="1" ht="30.75" customHeight="1">
      <c r="A762" s="57" t="s">
        <v>328</v>
      </c>
      <c r="B762" s="34" t="s">
        <v>94</v>
      </c>
      <c r="C762" s="36" t="s">
        <v>732</v>
      </c>
      <c r="D762" s="34" t="s">
        <v>327</v>
      </c>
      <c r="E762" s="41">
        <f t="shared" si="36"/>
        <v>37440</v>
      </c>
      <c r="F762" s="41">
        <f t="shared" si="36"/>
        <v>37440</v>
      </c>
      <c r="G762" s="41">
        <f t="shared" si="36"/>
        <v>37440</v>
      </c>
      <c r="H762" s="41">
        <f t="shared" si="36"/>
        <v>37440</v>
      </c>
      <c r="I762" s="120"/>
    </row>
    <row r="763" spans="1:9" s="1" customFormat="1" ht="20.25" customHeight="1">
      <c r="A763" s="57" t="s">
        <v>326</v>
      </c>
      <c r="B763" s="34" t="s">
        <v>94</v>
      </c>
      <c r="C763" s="36" t="s">
        <v>732</v>
      </c>
      <c r="D763" s="34" t="s">
        <v>325</v>
      </c>
      <c r="E763" s="41">
        <f>17940+19500</f>
        <v>37440</v>
      </c>
      <c r="F763" s="41">
        <f>E763</f>
        <v>37440</v>
      </c>
      <c r="G763" s="41">
        <v>37440</v>
      </c>
      <c r="H763" s="41">
        <f>G763</f>
        <v>37440</v>
      </c>
      <c r="I763" s="120"/>
    </row>
    <row r="764" spans="1:9" s="1" customFormat="1" ht="122.25" customHeight="1">
      <c r="A764" s="49" t="s">
        <v>271</v>
      </c>
      <c r="B764" s="34" t="s">
        <v>94</v>
      </c>
      <c r="C764" s="8" t="s">
        <v>419</v>
      </c>
      <c r="D764" s="34"/>
      <c r="E764" s="41">
        <f>E766</f>
        <v>1021449</v>
      </c>
      <c r="F764" s="41">
        <f>F766</f>
        <v>1021449</v>
      </c>
      <c r="G764" s="41">
        <f>G766</f>
        <v>1000097</v>
      </c>
      <c r="H764" s="41">
        <f>H766</f>
        <v>1000097</v>
      </c>
      <c r="I764" s="120"/>
    </row>
    <row r="765" spans="1:9" s="1" customFormat="1" ht="33" customHeight="1">
      <c r="A765" s="49" t="s">
        <v>328</v>
      </c>
      <c r="B765" s="34" t="s">
        <v>94</v>
      </c>
      <c r="C765" s="8" t="s">
        <v>419</v>
      </c>
      <c r="D765" s="34" t="s">
        <v>327</v>
      </c>
      <c r="E765" s="41">
        <f>E766</f>
        <v>1021449</v>
      </c>
      <c r="F765" s="41">
        <f>F766</f>
        <v>1021449</v>
      </c>
      <c r="G765" s="41">
        <f>G766</f>
        <v>1000097</v>
      </c>
      <c r="H765" s="41">
        <f>H766</f>
        <v>1000097</v>
      </c>
      <c r="I765" s="120"/>
    </row>
    <row r="766" spans="1:9" s="1" customFormat="1" ht="22.5" customHeight="1">
      <c r="A766" s="49" t="s">
        <v>326</v>
      </c>
      <c r="B766" s="34" t="s">
        <v>94</v>
      </c>
      <c r="C766" s="8" t="s">
        <v>419</v>
      </c>
      <c r="D766" s="34" t="s">
        <v>325</v>
      </c>
      <c r="E766" s="41">
        <f>1049676+3146-31373</f>
        <v>1021449</v>
      </c>
      <c r="F766" s="41">
        <f>E766</f>
        <v>1021449</v>
      </c>
      <c r="G766" s="41">
        <v>1000097</v>
      </c>
      <c r="H766" s="41">
        <f>G766</f>
        <v>1000097</v>
      </c>
      <c r="I766" s="120"/>
    </row>
    <row r="767" spans="1:9" s="1" customFormat="1" ht="76.5" customHeight="1">
      <c r="A767" s="40" t="s">
        <v>687</v>
      </c>
      <c r="B767" s="34" t="s">
        <v>94</v>
      </c>
      <c r="C767" s="36" t="s">
        <v>648</v>
      </c>
      <c r="D767" s="34"/>
      <c r="E767" s="41">
        <f aca="true" t="shared" si="37" ref="E767:H768">E768</f>
        <v>500</v>
      </c>
      <c r="F767" s="41">
        <f t="shared" si="37"/>
        <v>500</v>
      </c>
      <c r="G767" s="41">
        <f t="shared" si="37"/>
        <v>500</v>
      </c>
      <c r="H767" s="41">
        <f t="shared" si="37"/>
        <v>500</v>
      </c>
      <c r="I767" s="120"/>
    </row>
    <row r="768" spans="1:9" s="1" customFormat="1" ht="29.25" customHeight="1">
      <c r="A768" s="57" t="s">
        <v>328</v>
      </c>
      <c r="B768" s="34" t="s">
        <v>94</v>
      </c>
      <c r="C768" s="36" t="s">
        <v>648</v>
      </c>
      <c r="D768" s="34" t="s">
        <v>327</v>
      </c>
      <c r="E768" s="41">
        <f t="shared" si="37"/>
        <v>500</v>
      </c>
      <c r="F768" s="41">
        <f t="shared" si="37"/>
        <v>500</v>
      </c>
      <c r="G768" s="41">
        <f t="shared" si="37"/>
        <v>500</v>
      </c>
      <c r="H768" s="41">
        <f t="shared" si="37"/>
        <v>500</v>
      </c>
      <c r="I768" s="120"/>
    </row>
    <row r="769" spans="1:9" s="1" customFormat="1" ht="22.5" customHeight="1">
      <c r="A769" s="39" t="s">
        <v>326</v>
      </c>
      <c r="B769" s="34" t="s">
        <v>94</v>
      </c>
      <c r="C769" s="36" t="s">
        <v>648</v>
      </c>
      <c r="D769" s="34" t="s">
        <v>325</v>
      </c>
      <c r="E769" s="41">
        <f>500</f>
        <v>500</v>
      </c>
      <c r="F769" s="41">
        <f>E769</f>
        <v>500</v>
      </c>
      <c r="G769" s="41">
        <v>500</v>
      </c>
      <c r="H769" s="41">
        <f>G769</f>
        <v>500</v>
      </c>
      <c r="I769" s="120"/>
    </row>
    <row r="770" spans="1:9" s="1" customFormat="1" ht="32.25" customHeight="1">
      <c r="A770" s="49" t="s">
        <v>239</v>
      </c>
      <c r="B770" s="34" t="s">
        <v>94</v>
      </c>
      <c r="C770" s="8" t="s">
        <v>135</v>
      </c>
      <c r="D770" s="34"/>
      <c r="E770" s="41">
        <f>E771</f>
        <v>605398.7</v>
      </c>
      <c r="F770" s="41"/>
      <c r="G770" s="41">
        <f>G771</f>
        <v>605398.7</v>
      </c>
      <c r="H770" s="41"/>
      <c r="I770" s="120"/>
    </row>
    <row r="771" spans="1:9" s="1" customFormat="1" ht="21" customHeight="1">
      <c r="A771" s="57" t="s">
        <v>276</v>
      </c>
      <c r="B771" s="34" t="s">
        <v>94</v>
      </c>
      <c r="C771" s="8" t="s">
        <v>136</v>
      </c>
      <c r="D771" s="34"/>
      <c r="E771" s="41">
        <f>E772+E778+E775+E781+E784</f>
        <v>605398.7</v>
      </c>
      <c r="F771" s="41"/>
      <c r="G771" s="41">
        <f>G772+G778+G775+G781+G784</f>
        <v>605398.7</v>
      </c>
      <c r="H771" s="41"/>
      <c r="I771" s="120"/>
    </row>
    <row r="772" spans="1:9" s="1" customFormat="1" ht="25.5" customHeight="1">
      <c r="A772" s="40" t="s">
        <v>117</v>
      </c>
      <c r="B772" s="34" t="s">
        <v>94</v>
      </c>
      <c r="C772" s="8" t="s">
        <v>340</v>
      </c>
      <c r="D772" s="34"/>
      <c r="E772" s="41">
        <f>E773</f>
        <v>481850.7</v>
      </c>
      <c r="F772" s="41"/>
      <c r="G772" s="41">
        <f>G773</f>
        <v>481850.7</v>
      </c>
      <c r="H772" s="41"/>
      <c r="I772" s="120"/>
    </row>
    <row r="773" spans="1:9" s="1" customFormat="1" ht="33.75" customHeight="1">
      <c r="A773" s="33" t="s">
        <v>328</v>
      </c>
      <c r="B773" s="34" t="s">
        <v>94</v>
      </c>
      <c r="C773" s="8" t="s">
        <v>340</v>
      </c>
      <c r="D773" s="34" t="s">
        <v>327</v>
      </c>
      <c r="E773" s="41">
        <f>E774</f>
        <v>481850.7</v>
      </c>
      <c r="F773" s="41"/>
      <c r="G773" s="41">
        <f>G774</f>
        <v>481850.7</v>
      </c>
      <c r="H773" s="41"/>
      <c r="I773" s="120"/>
    </row>
    <row r="774" spans="1:9" s="1" customFormat="1" ht="20.25" customHeight="1">
      <c r="A774" s="40" t="s">
        <v>326</v>
      </c>
      <c r="B774" s="34" t="s">
        <v>94</v>
      </c>
      <c r="C774" s="8" t="s">
        <v>340</v>
      </c>
      <c r="D774" s="34" t="s">
        <v>325</v>
      </c>
      <c r="E774" s="41">
        <f>425723.3+876-791.6+55000+1287+22400+673.5-3317.5+17940-20000-17940</f>
        <v>481850.7</v>
      </c>
      <c r="F774" s="41"/>
      <c r="G774" s="41">
        <v>481850.7</v>
      </c>
      <c r="H774" s="41"/>
      <c r="I774" s="120"/>
    </row>
    <row r="775" spans="1:9" s="1" customFormat="1" ht="20.25" customHeight="1">
      <c r="A775" s="40" t="s">
        <v>387</v>
      </c>
      <c r="B775" s="34" t="s">
        <v>94</v>
      </c>
      <c r="C775" s="8" t="s">
        <v>341</v>
      </c>
      <c r="D775" s="34"/>
      <c r="E775" s="41">
        <f>E776</f>
        <v>188.9</v>
      </c>
      <c r="F775" s="41"/>
      <c r="G775" s="41">
        <f>G776</f>
        <v>188.9</v>
      </c>
      <c r="H775" s="41"/>
      <c r="I775" s="120"/>
    </row>
    <row r="776" spans="1:9" s="1" customFormat="1" ht="29.25" customHeight="1">
      <c r="A776" s="57" t="s">
        <v>328</v>
      </c>
      <c r="B776" s="34" t="s">
        <v>94</v>
      </c>
      <c r="C776" s="36" t="s">
        <v>341</v>
      </c>
      <c r="D776" s="34" t="s">
        <v>327</v>
      </c>
      <c r="E776" s="41">
        <f>E777</f>
        <v>188.9</v>
      </c>
      <c r="F776" s="41"/>
      <c r="G776" s="41">
        <f>G777</f>
        <v>188.9</v>
      </c>
      <c r="H776" s="41"/>
      <c r="I776" s="120"/>
    </row>
    <row r="777" spans="1:9" s="1" customFormat="1" ht="20.25" customHeight="1">
      <c r="A777" s="40" t="s">
        <v>326</v>
      </c>
      <c r="B777" s="34" t="s">
        <v>94</v>
      </c>
      <c r="C777" s="36" t="s">
        <v>341</v>
      </c>
      <c r="D777" s="34" t="s">
        <v>325</v>
      </c>
      <c r="E777" s="41">
        <f>375.8-50-120-16.9</f>
        <v>188.9</v>
      </c>
      <c r="F777" s="41"/>
      <c r="G777" s="41">
        <v>188.9</v>
      </c>
      <c r="H777" s="41"/>
      <c r="I777" s="120"/>
    </row>
    <row r="778" spans="1:9" s="1" customFormat="1" ht="19.5" customHeight="1">
      <c r="A778" s="40" t="s">
        <v>383</v>
      </c>
      <c r="B778" s="34" t="s">
        <v>94</v>
      </c>
      <c r="C778" s="8" t="s">
        <v>342</v>
      </c>
      <c r="D778" s="34"/>
      <c r="E778" s="41">
        <f>E779</f>
        <v>105517.5</v>
      </c>
      <c r="F778" s="41"/>
      <c r="G778" s="41">
        <f>G779</f>
        <v>105517.5</v>
      </c>
      <c r="H778" s="41"/>
      <c r="I778" s="120"/>
    </row>
    <row r="779" spans="1:9" s="1" customFormat="1" ht="33.75" customHeight="1">
      <c r="A779" s="33" t="s">
        <v>328</v>
      </c>
      <c r="B779" s="34" t="s">
        <v>94</v>
      </c>
      <c r="C779" s="8" t="s">
        <v>342</v>
      </c>
      <c r="D779" s="34" t="s">
        <v>327</v>
      </c>
      <c r="E779" s="41">
        <f>E780</f>
        <v>105517.5</v>
      </c>
      <c r="F779" s="41"/>
      <c r="G779" s="41">
        <f>G780</f>
        <v>105517.5</v>
      </c>
      <c r="H779" s="41"/>
      <c r="I779" s="120"/>
    </row>
    <row r="780" spans="1:9" s="1" customFormat="1" ht="21.75" customHeight="1">
      <c r="A780" s="40" t="s">
        <v>326</v>
      </c>
      <c r="B780" s="34" t="s">
        <v>94</v>
      </c>
      <c r="C780" s="8" t="s">
        <v>342</v>
      </c>
      <c r="D780" s="34" t="s">
        <v>325</v>
      </c>
      <c r="E780" s="41">
        <f>131780-5000+2000+211.7-15000-1700-6275-1821.5+120-628.5+2013.2-182.4</f>
        <v>105517.5</v>
      </c>
      <c r="F780" s="41"/>
      <c r="G780" s="41">
        <v>105517.5</v>
      </c>
      <c r="H780" s="41"/>
      <c r="I780" s="120"/>
    </row>
    <row r="781" spans="1:9" s="1" customFormat="1" ht="30" customHeight="1">
      <c r="A781" s="40" t="s">
        <v>482</v>
      </c>
      <c r="B781" s="34" t="s">
        <v>94</v>
      </c>
      <c r="C781" s="8" t="s">
        <v>481</v>
      </c>
      <c r="D781" s="34"/>
      <c r="E781" s="41">
        <f>E782</f>
        <v>17791.6</v>
      </c>
      <c r="F781" s="41"/>
      <c r="G781" s="41">
        <f>G782</f>
        <v>17791.6</v>
      </c>
      <c r="H781" s="41"/>
      <c r="I781" s="120"/>
    </row>
    <row r="782" spans="1:9" s="1" customFormat="1" ht="32.25" customHeight="1">
      <c r="A782" s="33" t="s">
        <v>328</v>
      </c>
      <c r="B782" s="34" t="s">
        <v>94</v>
      </c>
      <c r="C782" s="8" t="s">
        <v>481</v>
      </c>
      <c r="D782" s="34" t="s">
        <v>327</v>
      </c>
      <c r="E782" s="41">
        <f>E783</f>
        <v>17791.6</v>
      </c>
      <c r="F782" s="41"/>
      <c r="G782" s="41">
        <f>G783</f>
        <v>17791.6</v>
      </c>
      <c r="H782" s="41"/>
      <c r="I782" s="120"/>
    </row>
    <row r="783" spans="1:9" s="1" customFormat="1" ht="18" customHeight="1">
      <c r="A783" s="40" t="s">
        <v>326</v>
      </c>
      <c r="B783" s="34" t="s">
        <v>94</v>
      </c>
      <c r="C783" s="8" t="s">
        <v>481</v>
      </c>
      <c r="D783" s="34" t="s">
        <v>325</v>
      </c>
      <c r="E783" s="41">
        <f>300+791.6+15000+1700</f>
        <v>17791.6</v>
      </c>
      <c r="F783" s="41"/>
      <c r="G783" s="41">
        <v>17791.6</v>
      </c>
      <c r="H783" s="41"/>
      <c r="I783" s="120"/>
    </row>
    <row r="784" spans="1:9" s="1" customFormat="1" ht="75.75" customHeight="1">
      <c r="A784" s="40" t="s">
        <v>647</v>
      </c>
      <c r="B784" s="34" t="s">
        <v>94</v>
      </c>
      <c r="C784" s="36" t="s">
        <v>648</v>
      </c>
      <c r="D784" s="34"/>
      <c r="E784" s="41">
        <f>E785</f>
        <v>50</v>
      </c>
      <c r="F784" s="41"/>
      <c r="G784" s="41">
        <f>G785</f>
        <v>50</v>
      </c>
      <c r="H784" s="41"/>
      <c r="I784" s="120"/>
    </row>
    <row r="785" spans="1:9" s="1" customFormat="1" ht="32.25" customHeight="1">
      <c r="A785" s="57" t="s">
        <v>328</v>
      </c>
      <c r="B785" s="34" t="s">
        <v>94</v>
      </c>
      <c r="C785" s="36" t="s">
        <v>648</v>
      </c>
      <c r="D785" s="34" t="s">
        <v>327</v>
      </c>
      <c r="E785" s="41">
        <f>E786</f>
        <v>50</v>
      </c>
      <c r="F785" s="41"/>
      <c r="G785" s="41">
        <f>G786</f>
        <v>50</v>
      </c>
      <c r="H785" s="41"/>
      <c r="I785" s="120"/>
    </row>
    <row r="786" spans="1:9" s="1" customFormat="1" ht="18" customHeight="1">
      <c r="A786" s="39" t="s">
        <v>326</v>
      </c>
      <c r="B786" s="34" t="s">
        <v>94</v>
      </c>
      <c r="C786" s="36" t="s">
        <v>648</v>
      </c>
      <c r="D786" s="34" t="s">
        <v>325</v>
      </c>
      <c r="E786" s="41">
        <f>50</f>
        <v>50</v>
      </c>
      <c r="F786" s="41"/>
      <c r="G786" s="41">
        <v>50</v>
      </c>
      <c r="H786" s="41"/>
      <c r="I786" s="120"/>
    </row>
    <row r="787" spans="1:9" s="1" customFormat="1" ht="18" customHeight="1">
      <c r="A787" s="77" t="s">
        <v>240</v>
      </c>
      <c r="B787" s="34" t="s">
        <v>94</v>
      </c>
      <c r="C787" s="36" t="s">
        <v>356</v>
      </c>
      <c r="D787" s="34"/>
      <c r="E787" s="41">
        <f>E788+E791</f>
        <v>8523.9</v>
      </c>
      <c r="F787" s="41">
        <f>F788+F791</f>
        <v>7749</v>
      </c>
      <c r="G787" s="41">
        <f>G788+G791</f>
        <v>8523.9</v>
      </c>
      <c r="H787" s="41">
        <f>H788+H791</f>
        <v>7749</v>
      </c>
      <c r="I787" s="120"/>
    </row>
    <row r="788" spans="1:9" s="1" customFormat="1" ht="105.75" customHeight="1">
      <c r="A788" s="49" t="s">
        <v>505</v>
      </c>
      <c r="B788" s="34" t="s">
        <v>94</v>
      </c>
      <c r="C788" s="36" t="s">
        <v>471</v>
      </c>
      <c r="D788" s="34"/>
      <c r="E788" s="41">
        <f aca="true" t="shared" si="38" ref="E788:H789">E789</f>
        <v>7749</v>
      </c>
      <c r="F788" s="41">
        <f t="shared" si="38"/>
        <v>7749</v>
      </c>
      <c r="G788" s="41">
        <f t="shared" si="38"/>
        <v>7749</v>
      </c>
      <c r="H788" s="41">
        <f t="shared" si="38"/>
        <v>7749</v>
      </c>
      <c r="I788" s="120"/>
    </row>
    <row r="789" spans="1:9" s="1" customFormat="1" ht="30" customHeight="1">
      <c r="A789" s="33" t="s">
        <v>328</v>
      </c>
      <c r="B789" s="34" t="s">
        <v>94</v>
      </c>
      <c r="C789" s="36" t="s">
        <v>471</v>
      </c>
      <c r="D789" s="34" t="s">
        <v>327</v>
      </c>
      <c r="E789" s="41">
        <f t="shared" si="38"/>
        <v>7749</v>
      </c>
      <c r="F789" s="41">
        <f t="shared" si="38"/>
        <v>7749</v>
      </c>
      <c r="G789" s="41">
        <f t="shared" si="38"/>
        <v>7749</v>
      </c>
      <c r="H789" s="41">
        <f t="shared" si="38"/>
        <v>7749</v>
      </c>
      <c r="I789" s="120"/>
    </row>
    <row r="790" spans="1:9" s="1" customFormat="1" ht="18" customHeight="1">
      <c r="A790" s="40" t="s">
        <v>326</v>
      </c>
      <c r="B790" s="34" t="s">
        <v>94</v>
      </c>
      <c r="C790" s="36" t="s">
        <v>471</v>
      </c>
      <c r="D790" s="34" t="s">
        <v>325</v>
      </c>
      <c r="E790" s="41">
        <f>5166+2583</f>
        <v>7749</v>
      </c>
      <c r="F790" s="41">
        <f>E790</f>
        <v>7749</v>
      </c>
      <c r="G790" s="41">
        <v>7749</v>
      </c>
      <c r="H790" s="41">
        <f>G790</f>
        <v>7749</v>
      </c>
      <c r="I790" s="120"/>
    </row>
    <row r="791" spans="1:9" s="1" customFormat="1" ht="114" customHeight="1">
      <c r="A791" s="40" t="s">
        <v>506</v>
      </c>
      <c r="B791" s="34" t="s">
        <v>94</v>
      </c>
      <c r="C791" s="36" t="s">
        <v>471</v>
      </c>
      <c r="D791" s="34"/>
      <c r="E791" s="41">
        <f>E792</f>
        <v>774.9</v>
      </c>
      <c r="F791" s="41"/>
      <c r="G791" s="41">
        <f>G792</f>
        <v>774.9</v>
      </c>
      <c r="H791" s="41"/>
      <c r="I791" s="120"/>
    </row>
    <row r="792" spans="1:9" s="1" customFormat="1" ht="28.5" customHeight="1">
      <c r="A792" s="33" t="s">
        <v>328</v>
      </c>
      <c r="B792" s="34" t="s">
        <v>94</v>
      </c>
      <c r="C792" s="36" t="s">
        <v>471</v>
      </c>
      <c r="D792" s="34" t="s">
        <v>327</v>
      </c>
      <c r="E792" s="41">
        <f>E793</f>
        <v>774.9</v>
      </c>
      <c r="F792" s="41"/>
      <c r="G792" s="41">
        <f>G793</f>
        <v>774.9</v>
      </c>
      <c r="H792" s="41"/>
      <c r="I792" s="120"/>
    </row>
    <row r="793" spans="1:9" s="1" customFormat="1" ht="21.75" customHeight="1">
      <c r="A793" s="39" t="s">
        <v>326</v>
      </c>
      <c r="B793" s="34" t="s">
        <v>94</v>
      </c>
      <c r="C793" s="36" t="s">
        <v>471</v>
      </c>
      <c r="D793" s="34" t="s">
        <v>325</v>
      </c>
      <c r="E793" s="41">
        <f>1000-225.1</f>
        <v>774.9</v>
      </c>
      <c r="F793" s="41"/>
      <c r="G793" s="41">
        <v>774.9</v>
      </c>
      <c r="H793" s="41"/>
      <c r="I793" s="120"/>
    </row>
    <row r="794" spans="1:9" s="1" customFormat="1" ht="21" customHeight="1">
      <c r="A794" s="68" t="s">
        <v>100</v>
      </c>
      <c r="B794" s="60" t="s">
        <v>120</v>
      </c>
      <c r="C794" s="60"/>
      <c r="D794" s="60"/>
      <c r="E794" s="9">
        <f>E795+E885+E889</f>
        <v>3373394.9</v>
      </c>
      <c r="F794" s="9">
        <f>F795+F885</f>
        <v>2667826.9</v>
      </c>
      <c r="G794" s="9">
        <f>G795+G885+G889</f>
        <v>3149385.8000000003</v>
      </c>
      <c r="H794" s="9">
        <f>H795+H885</f>
        <v>2479538.6</v>
      </c>
      <c r="I794" s="16">
        <f>G794/E794*100</f>
        <v>93.3595352266644</v>
      </c>
    </row>
    <row r="795" spans="1:9" s="1" customFormat="1" ht="45" customHeight="1">
      <c r="A795" s="49" t="s">
        <v>263</v>
      </c>
      <c r="B795" s="35" t="s">
        <v>120</v>
      </c>
      <c r="C795" s="8" t="s">
        <v>135</v>
      </c>
      <c r="D795" s="34"/>
      <c r="E795" s="63">
        <f>E796</f>
        <v>3371169.8</v>
      </c>
      <c r="F795" s="63">
        <f>F796</f>
        <v>2667826.9</v>
      </c>
      <c r="G795" s="63">
        <f>G796</f>
        <v>3147160.7</v>
      </c>
      <c r="H795" s="63">
        <f>H796</f>
        <v>2479538.6</v>
      </c>
      <c r="I795" s="120"/>
    </row>
    <row r="796" spans="1:9" s="1" customFormat="1" ht="16.5" customHeight="1">
      <c r="A796" s="33" t="s">
        <v>277</v>
      </c>
      <c r="B796" s="35" t="s">
        <v>120</v>
      </c>
      <c r="C796" s="8" t="s">
        <v>33</v>
      </c>
      <c r="D796" s="34"/>
      <c r="E796" s="63">
        <f>E809+E844+E812+E815+E819+E822+E828+E837+E825+E834+E831+E840+E797+E803+E806+E800</f>
        <v>3371169.8</v>
      </c>
      <c r="F796" s="63">
        <f>F809+F844+F812+F815+F819+F822+F828+F837+F825+F834+F831+F840+F797+F803+F806+F800</f>
        <v>2667826.9</v>
      </c>
      <c r="G796" s="63">
        <f>G809+G844+G812+G815+G819+G822+G828+G837+G825+G834+G831+G840+G797+G803+G806+G800</f>
        <v>3147160.7</v>
      </c>
      <c r="H796" s="63">
        <f>H809+H844+H812+H815+H819+H822+H828+H837+H825+H834+H831+H840+H797+H803+H806+H800</f>
        <v>2479538.6</v>
      </c>
      <c r="I796" s="120"/>
    </row>
    <row r="797" spans="1:9" s="1" customFormat="1" ht="48" customHeight="1">
      <c r="A797" s="48" t="s">
        <v>617</v>
      </c>
      <c r="B797" s="35" t="s">
        <v>120</v>
      </c>
      <c r="C797" s="36" t="s">
        <v>643</v>
      </c>
      <c r="D797" s="34"/>
      <c r="E797" s="41">
        <f aca="true" t="shared" si="39" ref="E797:H798">E798</f>
        <v>1920</v>
      </c>
      <c r="F797" s="41">
        <f t="shared" si="39"/>
        <v>1920</v>
      </c>
      <c r="G797" s="41">
        <f t="shared" si="39"/>
        <v>1920</v>
      </c>
      <c r="H797" s="41">
        <f t="shared" si="39"/>
        <v>1920</v>
      </c>
      <c r="I797" s="120"/>
    </row>
    <row r="798" spans="1:9" s="1" customFormat="1" ht="30.75" customHeight="1">
      <c r="A798" s="57" t="s">
        <v>328</v>
      </c>
      <c r="B798" s="35" t="s">
        <v>120</v>
      </c>
      <c r="C798" s="36" t="s">
        <v>643</v>
      </c>
      <c r="D798" s="34" t="s">
        <v>327</v>
      </c>
      <c r="E798" s="41">
        <f t="shared" si="39"/>
        <v>1920</v>
      </c>
      <c r="F798" s="41">
        <f t="shared" si="39"/>
        <v>1920</v>
      </c>
      <c r="G798" s="41">
        <f t="shared" si="39"/>
        <v>1920</v>
      </c>
      <c r="H798" s="41">
        <f t="shared" si="39"/>
        <v>1920</v>
      </c>
      <c r="I798" s="120"/>
    </row>
    <row r="799" spans="1:9" s="1" customFormat="1" ht="16.5" customHeight="1">
      <c r="A799" s="57" t="s">
        <v>326</v>
      </c>
      <c r="B799" s="35" t="s">
        <v>120</v>
      </c>
      <c r="C799" s="36" t="s">
        <v>643</v>
      </c>
      <c r="D799" s="34" t="s">
        <v>325</v>
      </c>
      <c r="E799" s="41">
        <f>1870+50</f>
        <v>1920</v>
      </c>
      <c r="F799" s="41">
        <f>E799</f>
        <v>1920</v>
      </c>
      <c r="G799" s="41">
        <v>1920</v>
      </c>
      <c r="H799" s="41">
        <f>G799</f>
        <v>1920</v>
      </c>
      <c r="I799" s="120"/>
    </row>
    <row r="800" spans="1:9" s="1" customFormat="1" ht="23.25" customHeight="1">
      <c r="A800" s="48" t="s">
        <v>749</v>
      </c>
      <c r="B800" s="35" t="s">
        <v>120</v>
      </c>
      <c r="C800" s="36" t="s">
        <v>733</v>
      </c>
      <c r="D800" s="34"/>
      <c r="E800" s="41">
        <f aca="true" t="shared" si="40" ref="E800:H801">E801</f>
        <v>21687</v>
      </c>
      <c r="F800" s="41">
        <f t="shared" si="40"/>
        <v>21687</v>
      </c>
      <c r="G800" s="41">
        <f t="shared" si="40"/>
        <v>21687</v>
      </c>
      <c r="H800" s="41">
        <f t="shared" si="40"/>
        <v>21687</v>
      </c>
      <c r="I800" s="120"/>
    </row>
    <row r="801" spans="1:9" s="1" customFormat="1" ht="34.5" customHeight="1">
      <c r="A801" s="57" t="s">
        <v>328</v>
      </c>
      <c r="B801" s="35" t="s">
        <v>120</v>
      </c>
      <c r="C801" s="36" t="s">
        <v>733</v>
      </c>
      <c r="D801" s="34" t="s">
        <v>327</v>
      </c>
      <c r="E801" s="41">
        <f t="shared" si="40"/>
        <v>21687</v>
      </c>
      <c r="F801" s="41">
        <f t="shared" si="40"/>
        <v>21687</v>
      </c>
      <c r="G801" s="41">
        <f t="shared" si="40"/>
        <v>21687</v>
      </c>
      <c r="H801" s="41">
        <f t="shared" si="40"/>
        <v>21687</v>
      </c>
      <c r="I801" s="120"/>
    </row>
    <row r="802" spans="1:9" s="1" customFormat="1" ht="16.5" customHeight="1">
      <c r="A802" s="57" t="s">
        <v>326</v>
      </c>
      <c r="B802" s="35" t="s">
        <v>120</v>
      </c>
      <c r="C802" s="36" t="s">
        <v>733</v>
      </c>
      <c r="D802" s="34" t="s">
        <v>325</v>
      </c>
      <c r="E802" s="41">
        <f>41187-19500</f>
        <v>21687</v>
      </c>
      <c r="F802" s="41">
        <f>E802</f>
        <v>21687</v>
      </c>
      <c r="G802" s="41">
        <v>21687</v>
      </c>
      <c r="H802" s="41">
        <f>G802</f>
        <v>21687</v>
      </c>
      <c r="I802" s="120"/>
    </row>
    <row r="803" spans="1:9" s="1" customFormat="1" ht="31.5" customHeight="1">
      <c r="A803" s="33" t="s">
        <v>650</v>
      </c>
      <c r="B803" s="35" t="s">
        <v>120</v>
      </c>
      <c r="C803" s="8" t="s">
        <v>645</v>
      </c>
      <c r="D803" s="34"/>
      <c r="E803" s="41">
        <f aca="true" t="shared" si="41" ref="E803:H804">E804</f>
        <v>4246.8</v>
      </c>
      <c r="F803" s="41">
        <f t="shared" si="41"/>
        <v>4143.2</v>
      </c>
      <c r="G803" s="41">
        <f t="shared" si="41"/>
        <v>4246.8</v>
      </c>
      <c r="H803" s="41">
        <f t="shared" si="41"/>
        <v>4143.2</v>
      </c>
      <c r="I803" s="120"/>
    </row>
    <row r="804" spans="1:9" s="1" customFormat="1" ht="30.75" customHeight="1">
      <c r="A804" s="57" t="s">
        <v>328</v>
      </c>
      <c r="B804" s="35" t="s">
        <v>120</v>
      </c>
      <c r="C804" s="8" t="s">
        <v>645</v>
      </c>
      <c r="D804" s="34" t="s">
        <v>327</v>
      </c>
      <c r="E804" s="41">
        <f t="shared" si="41"/>
        <v>4246.8</v>
      </c>
      <c r="F804" s="41">
        <f t="shared" si="41"/>
        <v>4143.2</v>
      </c>
      <c r="G804" s="41">
        <f t="shared" si="41"/>
        <v>4246.8</v>
      </c>
      <c r="H804" s="41">
        <f t="shared" si="41"/>
        <v>4143.2</v>
      </c>
      <c r="I804" s="120"/>
    </row>
    <row r="805" spans="1:9" s="1" customFormat="1" ht="16.5" customHeight="1">
      <c r="A805" s="57" t="s">
        <v>326</v>
      </c>
      <c r="B805" s="35" t="s">
        <v>120</v>
      </c>
      <c r="C805" s="8" t="s">
        <v>645</v>
      </c>
      <c r="D805" s="34" t="s">
        <v>325</v>
      </c>
      <c r="E805" s="41">
        <f>3107.4+1035.8+103.6</f>
        <v>4246.8</v>
      </c>
      <c r="F805" s="41">
        <v>4143.2</v>
      </c>
      <c r="G805" s="41">
        <v>4246.8</v>
      </c>
      <c r="H805" s="41">
        <v>4143.2</v>
      </c>
      <c r="I805" s="120"/>
    </row>
    <row r="806" spans="1:9" s="1" customFormat="1" ht="47.25" customHeight="1">
      <c r="A806" s="33" t="s">
        <v>651</v>
      </c>
      <c r="B806" s="35" t="s">
        <v>120</v>
      </c>
      <c r="C806" s="8" t="s">
        <v>646</v>
      </c>
      <c r="D806" s="34"/>
      <c r="E806" s="41">
        <f aca="true" t="shared" si="42" ref="E806:H807">E807</f>
        <v>4935.7</v>
      </c>
      <c r="F806" s="41">
        <f t="shared" si="42"/>
        <v>4815.3</v>
      </c>
      <c r="G806" s="41">
        <f t="shared" si="42"/>
        <v>4935.7</v>
      </c>
      <c r="H806" s="41">
        <f t="shared" si="42"/>
        <v>4815.3</v>
      </c>
      <c r="I806" s="120"/>
    </row>
    <row r="807" spans="1:9" s="1" customFormat="1" ht="30.75" customHeight="1">
      <c r="A807" s="57" t="s">
        <v>328</v>
      </c>
      <c r="B807" s="35" t="s">
        <v>120</v>
      </c>
      <c r="C807" s="8" t="s">
        <v>646</v>
      </c>
      <c r="D807" s="34" t="s">
        <v>327</v>
      </c>
      <c r="E807" s="41">
        <f t="shared" si="42"/>
        <v>4935.7</v>
      </c>
      <c r="F807" s="41">
        <f t="shared" si="42"/>
        <v>4815.3</v>
      </c>
      <c r="G807" s="41">
        <f t="shared" si="42"/>
        <v>4935.7</v>
      </c>
      <c r="H807" s="41">
        <f t="shared" si="42"/>
        <v>4815.3</v>
      </c>
      <c r="I807" s="120"/>
    </row>
    <row r="808" spans="1:9" s="1" customFormat="1" ht="16.5" customHeight="1">
      <c r="A808" s="57" t="s">
        <v>326</v>
      </c>
      <c r="B808" s="35" t="s">
        <v>120</v>
      </c>
      <c r="C808" s="8" t="s">
        <v>646</v>
      </c>
      <c r="D808" s="34" t="s">
        <v>325</v>
      </c>
      <c r="E808" s="41">
        <f>1203.8+3611.5+120.4</f>
        <v>4935.7</v>
      </c>
      <c r="F808" s="41">
        <v>4815.3</v>
      </c>
      <c r="G808" s="41">
        <v>4935.7</v>
      </c>
      <c r="H808" s="41">
        <v>4815.3</v>
      </c>
      <c r="I808" s="120"/>
    </row>
    <row r="809" spans="1:9" s="1" customFormat="1" ht="166.5" customHeight="1">
      <c r="A809" s="69" t="s">
        <v>270</v>
      </c>
      <c r="B809" s="35" t="s">
        <v>120</v>
      </c>
      <c r="C809" s="8" t="s">
        <v>420</v>
      </c>
      <c r="D809" s="36"/>
      <c r="E809" s="54">
        <f aca="true" t="shared" si="43" ref="E809:H810">E810</f>
        <v>1806489</v>
      </c>
      <c r="F809" s="54">
        <f t="shared" si="43"/>
        <v>1806489</v>
      </c>
      <c r="G809" s="54">
        <f t="shared" si="43"/>
        <v>1802653.7</v>
      </c>
      <c r="H809" s="54">
        <f t="shared" si="43"/>
        <v>1802653.7</v>
      </c>
      <c r="I809" s="120"/>
    </row>
    <row r="810" spans="1:9" s="1" customFormat="1" ht="32.25" customHeight="1">
      <c r="A810" s="33" t="s">
        <v>328</v>
      </c>
      <c r="B810" s="35" t="s">
        <v>120</v>
      </c>
      <c r="C810" s="8" t="s">
        <v>420</v>
      </c>
      <c r="D810" s="8" t="s">
        <v>327</v>
      </c>
      <c r="E810" s="54">
        <f t="shared" si="43"/>
        <v>1806489</v>
      </c>
      <c r="F810" s="54">
        <f t="shared" si="43"/>
        <v>1806489</v>
      </c>
      <c r="G810" s="54">
        <f t="shared" si="43"/>
        <v>1802653.7</v>
      </c>
      <c r="H810" s="54">
        <f t="shared" si="43"/>
        <v>1802653.7</v>
      </c>
      <c r="I810" s="120"/>
    </row>
    <row r="811" spans="1:9" s="1" customFormat="1" ht="21" customHeight="1">
      <c r="A811" s="39" t="s">
        <v>326</v>
      </c>
      <c r="B811" s="35" t="s">
        <v>120</v>
      </c>
      <c r="C811" s="8" t="s">
        <v>420</v>
      </c>
      <c r="D811" s="36" t="s">
        <v>325</v>
      </c>
      <c r="E811" s="37">
        <f>1763075-3286+649-8987+13721+41317</f>
        <v>1806489</v>
      </c>
      <c r="F811" s="37">
        <f>E811</f>
        <v>1806489</v>
      </c>
      <c r="G811" s="37">
        <v>1802653.7</v>
      </c>
      <c r="H811" s="37">
        <f>G811</f>
        <v>1802653.7</v>
      </c>
      <c r="I811" s="120"/>
    </row>
    <row r="812" spans="1:9" s="1" customFormat="1" ht="150.75" customHeight="1">
      <c r="A812" s="69" t="s">
        <v>399</v>
      </c>
      <c r="B812" s="35" t="s">
        <v>120</v>
      </c>
      <c r="C812" s="45" t="s">
        <v>422</v>
      </c>
      <c r="D812" s="45"/>
      <c r="E812" s="54">
        <f>E814</f>
        <v>34801</v>
      </c>
      <c r="F812" s="54">
        <f>F814</f>
        <v>34801</v>
      </c>
      <c r="G812" s="54">
        <f>G814</f>
        <v>30316</v>
      </c>
      <c r="H812" s="54">
        <f>H814</f>
        <v>30316</v>
      </c>
      <c r="I812" s="120"/>
    </row>
    <row r="813" spans="1:9" s="1" customFormat="1" ht="29.25" customHeight="1">
      <c r="A813" s="33" t="s">
        <v>328</v>
      </c>
      <c r="B813" s="35" t="s">
        <v>120</v>
      </c>
      <c r="C813" s="45" t="s">
        <v>422</v>
      </c>
      <c r="D813" s="45" t="s">
        <v>327</v>
      </c>
      <c r="E813" s="54">
        <f>E814</f>
        <v>34801</v>
      </c>
      <c r="F813" s="54">
        <f>F814</f>
        <v>34801</v>
      </c>
      <c r="G813" s="54">
        <f>G814</f>
        <v>30316</v>
      </c>
      <c r="H813" s="54">
        <f>H814</f>
        <v>30316</v>
      </c>
      <c r="I813" s="120"/>
    </row>
    <row r="814" spans="1:9" s="1" customFormat="1" ht="30" customHeight="1">
      <c r="A814" s="70" t="s">
        <v>47</v>
      </c>
      <c r="B814" s="35" t="s">
        <v>120</v>
      </c>
      <c r="C814" s="45" t="s">
        <v>422</v>
      </c>
      <c r="D814" s="44" t="s">
        <v>83</v>
      </c>
      <c r="E814" s="37">
        <f>44349-9548</f>
        <v>34801</v>
      </c>
      <c r="F814" s="37">
        <f>E814</f>
        <v>34801</v>
      </c>
      <c r="G814" s="37">
        <v>30316</v>
      </c>
      <c r="H814" s="37">
        <f>G814</f>
        <v>30316</v>
      </c>
      <c r="I814" s="120"/>
    </row>
    <row r="815" spans="1:9" s="1" customFormat="1" ht="107.25" customHeight="1">
      <c r="A815" s="69" t="s">
        <v>268</v>
      </c>
      <c r="B815" s="35" t="s">
        <v>120</v>
      </c>
      <c r="C815" s="8" t="s">
        <v>421</v>
      </c>
      <c r="D815" s="8"/>
      <c r="E815" s="54">
        <f>E816</f>
        <v>120461.49999999999</v>
      </c>
      <c r="F815" s="54">
        <f>F816</f>
        <v>120461.49999999999</v>
      </c>
      <c r="G815" s="54">
        <f>G816</f>
        <v>120461.2</v>
      </c>
      <c r="H815" s="54">
        <f>H816</f>
        <v>120461.2</v>
      </c>
      <c r="I815" s="120"/>
    </row>
    <row r="816" spans="1:9" s="1" customFormat="1" ht="30" customHeight="1">
      <c r="A816" s="33" t="s">
        <v>328</v>
      </c>
      <c r="B816" s="35" t="s">
        <v>120</v>
      </c>
      <c r="C816" s="8" t="s">
        <v>421</v>
      </c>
      <c r="D816" s="8" t="s">
        <v>327</v>
      </c>
      <c r="E816" s="54">
        <f>E817+E818</f>
        <v>120461.49999999999</v>
      </c>
      <c r="F816" s="54">
        <f>F817+F818</f>
        <v>120461.49999999999</v>
      </c>
      <c r="G816" s="54">
        <f>G817+G818</f>
        <v>120461.2</v>
      </c>
      <c r="H816" s="54">
        <f>H817+H818</f>
        <v>120461.2</v>
      </c>
      <c r="I816" s="120"/>
    </row>
    <row r="817" spans="1:9" s="1" customFormat="1" ht="21.75" customHeight="1">
      <c r="A817" s="39" t="s">
        <v>326</v>
      </c>
      <c r="B817" s="35" t="s">
        <v>120</v>
      </c>
      <c r="C817" s="8" t="s">
        <v>421</v>
      </c>
      <c r="D817" s="36" t="s">
        <v>325</v>
      </c>
      <c r="E817" s="37">
        <f>116791.4-30-343-342.5+2076-89.3</f>
        <v>118062.59999999999</v>
      </c>
      <c r="F817" s="37">
        <f>E817</f>
        <v>118062.59999999999</v>
      </c>
      <c r="G817" s="37">
        <v>118062.3</v>
      </c>
      <c r="H817" s="37">
        <f>G817</f>
        <v>118062.3</v>
      </c>
      <c r="I817" s="120"/>
    </row>
    <row r="818" spans="1:9" s="1" customFormat="1" ht="30" customHeight="1">
      <c r="A818" s="64" t="s">
        <v>47</v>
      </c>
      <c r="B818" s="35" t="s">
        <v>120</v>
      </c>
      <c r="C818" s="8" t="s">
        <v>421</v>
      </c>
      <c r="D818" s="8" t="s">
        <v>83</v>
      </c>
      <c r="E818" s="54">
        <f>2279.6+30+89.3</f>
        <v>2398.9</v>
      </c>
      <c r="F818" s="54">
        <f>E818</f>
        <v>2398.9</v>
      </c>
      <c r="G818" s="54">
        <v>2398.9</v>
      </c>
      <c r="H818" s="54">
        <f>G818</f>
        <v>2398.9</v>
      </c>
      <c r="I818" s="120"/>
    </row>
    <row r="819" spans="1:9" s="1" customFormat="1" ht="58.5" customHeight="1">
      <c r="A819" s="38" t="s">
        <v>402</v>
      </c>
      <c r="B819" s="35" t="s">
        <v>120</v>
      </c>
      <c r="C819" s="8" t="s">
        <v>423</v>
      </c>
      <c r="D819" s="8"/>
      <c r="E819" s="54">
        <f>E821</f>
        <v>516</v>
      </c>
      <c r="F819" s="54">
        <f>F821</f>
        <v>516</v>
      </c>
      <c r="G819" s="54">
        <f>G821</f>
        <v>313.8</v>
      </c>
      <c r="H819" s="54">
        <f>H821</f>
        <v>313.8</v>
      </c>
      <c r="I819" s="120"/>
    </row>
    <row r="820" spans="1:9" s="1" customFormat="1" ht="32.25" customHeight="1">
      <c r="A820" s="57" t="s">
        <v>328</v>
      </c>
      <c r="B820" s="35" t="s">
        <v>120</v>
      </c>
      <c r="C820" s="8" t="s">
        <v>423</v>
      </c>
      <c r="D820" s="36" t="s">
        <v>327</v>
      </c>
      <c r="E820" s="37">
        <f>E821</f>
        <v>516</v>
      </c>
      <c r="F820" s="37">
        <f>F821</f>
        <v>516</v>
      </c>
      <c r="G820" s="37">
        <f>G821</f>
        <v>313.8</v>
      </c>
      <c r="H820" s="37">
        <f>H821</f>
        <v>313.8</v>
      </c>
      <c r="I820" s="120"/>
    </row>
    <row r="821" spans="1:9" s="1" customFormat="1" ht="24" customHeight="1">
      <c r="A821" s="39" t="s">
        <v>326</v>
      </c>
      <c r="B821" s="35" t="s">
        <v>120</v>
      </c>
      <c r="C821" s="8" t="s">
        <v>423</v>
      </c>
      <c r="D821" s="36" t="s">
        <v>325</v>
      </c>
      <c r="E821" s="37">
        <f>1266-750</f>
        <v>516</v>
      </c>
      <c r="F821" s="37">
        <f>E821</f>
        <v>516</v>
      </c>
      <c r="G821" s="37">
        <v>313.8</v>
      </c>
      <c r="H821" s="37">
        <f>G821</f>
        <v>313.8</v>
      </c>
      <c r="I821" s="120"/>
    </row>
    <row r="822" spans="1:9" s="1" customFormat="1" ht="90" customHeight="1">
      <c r="A822" s="69" t="s">
        <v>409</v>
      </c>
      <c r="B822" s="35" t="s">
        <v>120</v>
      </c>
      <c r="C822" s="8" t="s">
        <v>424</v>
      </c>
      <c r="D822" s="45"/>
      <c r="E822" s="50">
        <f aca="true" t="shared" si="44" ref="E822:H823">E823</f>
        <v>12974</v>
      </c>
      <c r="F822" s="50">
        <f t="shared" si="44"/>
        <v>12974</v>
      </c>
      <c r="G822" s="50">
        <f t="shared" si="44"/>
        <v>9752.2</v>
      </c>
      <c r="H822" s="50">
        <f t="shared" si="44"/>
        <v>9752.2</v>
      </c>
      <c r="I822" s="120"/>
    </row>
    <row r="823" spans="1:9" s="1" customFormat="1" ht="30" customHeight="1">
      <c r="A823" s="57" t="s">
        <v>328</v>
      </c>
      <c r="B823" s="35" t="s">
        <v>120</v>
      </c>
      <c r="C823" s="8" t="s">
        <v>424</v>
      </c>
      <c r="D823" s="36" t="s">
        <v>327</v>
      </c>
      <c r="E823" s="37">
        <f t="shared" si="44"/>
        <v>12974</v>
      </c>
      <c r="F823" s="37">
        <f t="shared" si="44"/>
        <v>12974</v>
      </c>
      <c r="G823" s="37">
        <f t="shared" si="44"/>
        <v>9752.2</v>
      </c>
      <c r="H823" s="37">
        <f t="shared" si="44"/>
        <v>9752.2</v>
      </c>
      <c r="I823" s="120"/>
    </row>
    <row r="824" spans="1:9" s="1" customFormat="1" ht="33" customHeight="1">
      <c r="A824" s="70" t="s">
        <v>47</v>
      </c>
      <c r="B824" s="35" t="s">
        <v>120</v>
      </c>
      <c r="C824" s="8" t="s">
        <v>424</v>
      </c>
      <c r="D824" s="36" t="s">
        <v>83</v>
      </c>
      <c r="E824" s="37">
        <f>12974</f>
        <v>12974</v>
      </c>
      <c r="F824" s="37">
        <f>E824</f>
        <v>12974</v>
      </c>
      <c r="G824" s="37">
        <v>9752.2</v>
      </c>
      <c r="H824" s="37">
        <f>G824</f>
        <v>9752.2</v>
      </c>
      <c r="I824" s="120"/>
    </row>
    <row r="825" spans="1:9" s="1" customFormat="1" ht="60.75" customHeight="1">
      <c r="A825" s="64" t="s">
        <v>430</v>
      </c>
      <c r="B825" s="35" t="s">
        <v>120</v>
      </c>
      <c r="C825" s="8" t="s">
        <v>220</v>
      </c>
      <c r="D825" s="36"/>
      <c r="E825" s="50">
        <f aca="true" t="shared" si="45" ref="E825:H826">E826</f>
        <v>1680</v>
      </c>
      <c r="F825" s="50">
        <f t="shared" si="45"/>
        <v>1680</v>
      </c>
      <c r="G825" s="50">
        <f t="shared" si="45"/>
        <v>0</v>
      </c>
      <c r="H825" s="50">
        <f t="shared" si="45"/>
        <v>0</v>
      </c>
      <c r="I825" s="120"/>
    </row>
    <row r="826" spans="1:9" s="1" customFormat="1" ht="33" customHeight="1">
      <c r="A826" s="33" t="s">
        <v>328</v>
      </c>
      <c r="B826" s="35" t="s">
        <v>120</v>
      </c>
      <c r="C826" s="8" t="s">
        <v>220</v>
      </c>
      <c r="D826" s="36" t="s">
        <v>327</v>
      </c>
      <c r="E826" s="37">
        <f t="shared" si="45"/>
        <v>1680</v>
      </c>
      <c r="F826" s="37">
        <f t="shared" si="45"/>
        <v>1680</v>
      </c>
      <c r="G826" s="37">
        <f t="shared" si="45"/>
        <v>0</v>
      </c>
      <c r="H826" s="37">
        <f t="shared" si="45"/>
        <v>0</v>
      </c>
      <c r="I826" s="120"/>
    </row>
    <row r="827" spans="1:9" s="1" customFormat="1" ht="20.25" customHeight="1">
      <c r="A827" s="40" t="s">
        <v>326</v>
      </c>
      <c r="B827" s="35" t="s">
        <v>120</v>
      </c>
      <c r="C827" s="8" t="s">
        <v>220</v>
      </c>
      <c r="D827" s="36" t="s">
        <v>325</v>
      </c>
      <c r="E827" s="37">
        <f>1680</f>
        <v>1680</v>
      </c>
      <c r="F827" s="37">
        <f>E827</f>
        <v>1680</v>
      </c>
      <c r="G827" s="37">
        <v>0</v>
      </c>
      <c r="H827" s="37">
        <f>G827</f>
        <v>0</v>
      </c>
      <c r="I827" s="120"/>
    </row>
    <row r="828" spans="1:9" s="1" customFormat="1" ht="61.5" customHeight="1">
      <c r="A828" s="40" t="s">
        <v>274</v>
      </c>
      <c r="B828" s="35" t="s">
        <v>120</v>
      </c>
      <c r="C828" s="8" t="s">
        <v>221</v>
      </c>
      <c r="D828" s="36"/>
      <c r="E828" s="37">
        <f aca="true" t="shared" si="46" ref="E828:H829">E829</f>
        <v>2087</v>
      </c>
      <c r="F828" s="37">
        <f t="shared" si="46"/>
        <v>2087</v>
      </c>
      <c r="G828" s="37">
        <f t="shared" si="46"/>
        <v>2087</v>
      </c>
      <c r="H828" s="37">
        <f t="shared" si="46"/>
        <v>2087</v>
      </c>
      <c r="I828" s="120"/>
    </row>
    <row r="829" spans="1:9" s="1" customFormat="1" ht="32.25" customHeight="1">
      <c r="A829" s="33" t="s">
        <v>328</v>
      </c>
      <c r="B829" s="35" t="s">
        <v>120</v>
      </c>
      <c r="C829" s="8" t="s">
        <v>221</v>
      </c>
      <c r="D829" s="36" t="s">
        <v>327</v>
      </c>
      <c r="E829" s="37">
        <f t="shared" si="46"/>
        <v>2087</v>
      </c>
      <c r="F829" s="37">
        <f t="shared" si="46"/>
        <v>2087</v>
      </c>
      <c r="G829" s="37">
        <f t="shared" si="46"/>
        <v>2087</v>
      </c>
      <c r="H829" s="37">
        <f t="shared" si="46"/>
        <v>2087</v>
      </c>
      <c r="I829" s="120"/>
    </row>
    <row r="830" spans="1:9" s="1" customFormat="1" ht="21" customHeight="1">
      <c r="A830" s="40" t="s">
        <v>326</v>
      </c>
      <c r="B830" s="35" t="s">
        <v>120</v>
      </c>
      <c r="C830" s="8" t="s">
        <v>221</v>
      </c>
      <c r="D830" s="36" t="s">
        <v>325</v>
      </c>
      <c r="E830" s="37">
        <f>2079+8</f>
        <v>2087</v>
      </c>
      <c r="F830" s="37">
        <f>E830</f>
        <v>2087</v>
      </c>
      <c r="G830" s="37">
        <v>2087</v>
      </c>
      <c r="H830" s="37">
        <f>G830</f>
        <v>2087</v>
      </c>
      <c r="I830" s="120"/>
    </row>
    <row r="831" spans="1:9" s="1" customFormat="1" ht="30.75" customHeight="1">
      <c r="A831" s="40" t="s">
        <v>523</v>
      </c>
      <c r="B831" s="35" t="s">
        <v>120</v>
      </c>
      <c r="C831" s="8" t="s">
        <v>695</v>
      </c>
      <c r="D831" s="36"/>
      <c r="E831" s="37">
        <f aca="true" t="shared" si="47" ref="E831:H832">E832</f>
        <v>745</v>
      </c>
      <c r="F831" s="37">
        <f t="shared" si="47"/>
        <v>745</v>
      </c>
      <c r="G831" s="37">
        <f t="shared" si="47"/>
        <v>744.2</v>
      </c>
      <c r="H831" s="37">
        <f t="shared" si="47"/>
        <v>744.2</v>
      </c>
      <c r="I831" s="120"/>
    </row>
    <row r="832" spans="1:9" s="1" customFormat="1" ht="31.5" customHeight="1">
      <c r="A832" s="33" t="s">
        <v>328</v>
      </c>
      <c r="B832" s="35" t="s">
        <v>120</v>
      </c>
      <c r="C832" s="8" t="s">
        <v>695</v>
      </c>
      <c r="D832" s="36" t="s">
        <v>327</v>
      </c>
      <c r="E832" s="37">
        <f t="shared" si="47"/>
        <v>745</v>
      </c>
      <c r="F832" s="37">
        <f t="shared" si="47"/>
        <v>745</v>
      </c>
      <c r="G832" s="37">
        <f t="shared" si="47"/>
        <v>744.2</v>
      </c>
      <c r="H832" s="37">
        <f t="shared" si="47"/>
        <v>744.2</v>
      </c>
      <c r="I832" s="120"/>
    </row>
    <row r="833" spans="1:9" s="1" customFormat="1" ht="21" customHeight="1">
      <c r="A833" s="40" t="s">
        <v>326</v>
      </c>
      <c r="B833" s="35" t="s">
        <v>120</v>
      </c>
      <c r="C833" s="8" t="s">
        <v>695</v>
      </c>
      <c r="D833" s="36" t="s">
        <v>325</v>
      </c>
      <c r="E833" s="37">
        <f>382+362.2+0.8</f>
        <v>745</v>
      </c>
      <c r="F833" s="37">
        <f>E833</f>
        <v>745</v>
      </c>
      <c r="G833" s="37">
        <v>744.2</v>
      </c>
      <c r="H833" s="37">
        <f>G833</f>
        <v>744.2</v>
      </c>
      <c r="I833" s="120"/>
    </row>
    <row r="834" spans="1:9" s="1" customFormat="1" ht="31.5" customHeight="1">
      <c r="A834" s="40" t="s">
        <v>495</v>
      </c>
      <c r="B834" s="35" t="s">
        <v>120</v>
      </c>
      <c r="C834" s="36" t="s">
        <v>713</v>
      </c>
      <c r="D834" s="34"/>
      <c r="E834" s="41">
        <f aca="true" t="shared" si="48" ref="E834:H835">E835</f>
        <v>18050</v>
      </c>
      <c r="F834" s="37">
        <f t="shared" si="48"/>
        <v>18050</v>
      </c>
      <c r="G834" s="41">
        <f t="shared" si="48"/>
        <v>0</v>
      </c>
      <c r="H834" s="37">
        <f t="shared" si="48"/>
        <v>0</v>
      </c>
      <c r="I834" s="120"/>
    </row>
    <row r="835" spans="1:9" s="1" customFormat="1" ht="32.25" customHeight="1">
      <c r="A835" s="43" t="s">
        <v>315</v>
      </c>
      <c r="B835" s="35" t="s">
        <v>120</v>
      </c>
      <c r="C835" s="36" t="s">
        <v>713</v>
      </c>
      <c r="D835" s="34" t="s">
        <v>381</v>
      </c>
      <c r="E835" s="41">
        <f t="shared" si="48"/>
        <v>18050</v>
      </c>
      <c r="F835" s="41">
        <f t="shared" si="48"/>
        <v>18050</v>
      </c>
      <c r="G835" s="41">
        <f t="shared" si="48"/>
        <v>0</v>
      </c>
      <c r="H835" s="41">
        <f t="shared" si="48"/>
        <v>0</v>
      </c>
      <c r="I835" s="120"/>
    </row>
    <row r="836" spans="1:9" s="1" customFormat="1" ht="104.25" customHeight="1">
      <c r="A836" s="39" t="s">
        <v>7</v>
      </c>
      <c r="B836" s="35" t="s">
        <v>120</v>
      </c>
      <c r="C836" s="36" t="s">
        <v>713</v>
      </c>
      <c r="D836" s="34" t="s">
        <v>6</v>
      </c>
      <c r="E836" s="41">
        <f>14250+3800</f>
        <v>18050</v>
      </c>
      <c r="F836" s="41">
        <f>E836</f>
        <v>18050</v>
      </c>
      <c r="G836" s="41">
        <v>0</v>
      </c>
      <c r="H836" s="41">
        <f>G836</f>
        <v>0</v>
      </c>
      <c r="I836" s="120"/>
    </row>
    <row r="837" spans="1:9" s="1" customFormat="1" ht="48.75" customHeight="1">
      <c r="A837" s="39" t="s">
        <v>611</v>
      </c>
      <c r="B837" s="35" t="s">
        <v>120</v>
      </c>
      <c r="C837" s="36" t="s">
        <v>712</v>
      </c>
      <c r="D837" s="34"/>
      <c r="E837" s="37">
        <f aca="true" t="shared" si="49" ref="E837:H838">E838</f>
        <v>627539.9</v>
      </c>
      <c r="F837" s="37">
        <f t="shared" si="49"/>
        <v>627539.9</v>
      </c>
      <c r="G837" s="37">
        <f t="shared" si="49"/>
        <v>480645</v>
      </c>
      <c r="H837" s="37">
        <f t="shared" si="49"/>
        <v>480645</v>
      </c>
      <c r="I837" s="120"/>
    </row>
    <row r="838" spans="1:9" s="1" customFormat="1" ht="33" customHeight="1">
      <c r="A838" s="43" t="s">
        <v>315</v>
      </c>
      <c r="B838" s="35" t="s">
        <v>120</v>
      </c>
      <c r="C838" s="36" t="s">
        <v>712</v>
      </c>
      <c r="D838" s="34" t="s">
        <v>381</v>
      </c>
      <c r="E838" s="41">
        <f t="shared" si="49"/>
        <v>627539.9</v>
      </c>
      <c r="F838" s="41">
        <f t="shared" si="49"/>
        <v>627539.9</v>
      </c>
      <c r="G838" s="41">
        <f t="shared" si="49"/>
        <v>480645</v>
      </c>
      <c r="H838" s="41">
        <f t="shared" si="49"/>
        <v>480645</v>
      </c>
      <c r="I838" s="120"/>
    </row>
    <row r="839" spans="1:9" s="1" customFormat="1" ht="107.25" customHeight="1">
      <c r="A839" s="39" t="s">
        <v>7</v>
      </c>
      <c r="B839" s="35" t="s">
        <v>120</v>
      </c>
      <c r="C839" s="36" t="s">
        <v>712</v>
      </c>
      <c r="D839" s="34" t="s">
        <v>6</v>
      </c>
      <c r="E839" s="41">
        <f>522657.2-95000+199882.7</f>
        <v>627539.9</v>
      </c>
      <c r="F839" s="41">
        <f>E839</f>
        <v>627539.9</v>
      </c>
      <c r="G839" s="41">
        <v>480645</v>
      </c>
      <c r="H839" s="41">
        <f>G839</f>
        <v>480645</v>
      </c>
      <c r="I839" s="120"/>
    </row>
    <row r="840" spans="1:9" s="1" customFormat="1" ht="48" customHeight="1">
      <c r="A840" s="39" t="s">
        <v>612</v>
      </c>
      <c r="B840" s="35" t="s">
        <v>120</v>
      </c>
      <c r="C840" s="36" t="s">
        <v>712</v>
      </c>
      <c r="D840" s="34"/>
      <c r="E840" s="37">
        <f aca="true" t="shared" si="50" ref="E840:H841">E841</f>
        <v>9918</v>
      </c>
      <c r="F840" s="37">
        <f t="shared" si="50"/>
        <v>9918</v>
      </c>
      <c r="G840" s="37">
        <f t="shared" si="50"/>
        <v>0</v>
      </c>
      <c r="H840" s="37">
        <f t="shared" si="50"/>
        <v>0</v>
      </c>
      <c r="I840" s="120"/>
    </row>
    <row r="841" spans="1:9" s="1" customFormat="1" ht="32.25" customHeight="1">
      <c r="A841" s="43" t="s">
        <v>315</v>
      </c>
      <c r="B841" s="35" t="s">
        <v>120</v>
      </c>
      <c r="C841" s="36" t="s">
        <v>712</v>
      </c>
      <c r="D841" s="34" t="s">
        <v>381</v>
      </c>
      <c r="E841" s="41">
        <f t="shared" si="50"/>
        <v>9918</v>
      </c>
      <c r="F841" s="41">
        <f t="shared" si="50"/>
        <v>9918</v>
      </c>
      <c r="G841" s="41">
        <f t="shared" si="50"/>
        <v>0</v>
      </c>
      <c r="H841" s="41">
        <f t="shared" si="50"/>
        <v>0</v>
      </c>
      <c r="I841" s="120"/>
    </row>
    <row r="842" spans="1:9" s="1" customFormat="1" ht="108.75" customHeight="1">
      <c r="A842" s="39" t="s">
        <v>7</v>
      </c>
      <c r="B842" s="35" t="s">
        <v>120</v>
      </c>
      <c r="C842" s="36" t="s">
        <v>712</v>
      </c>
      <c r="D842" s="34" t="s">
        <v>6</v>
      </c>
      <c r="E842" s="41">
        <f>95000-85984+902</f>
        <v>9918</v>
      </c>
      <c r="F842" s="41">
        <f>E842</f>
        <v>9918</v>
      </c>
      <c r="G842" s="41">
        <v>0</v>
      </c>
      <c r="H842" s="41">
        <f>G842</f>
        <v>0</v>
      </c>
      <c r="I842" s="120"/>
    </row>
    <row r="843" spans="1:9" s="2" customFormat="1" ht="24.75" customHeight="1">
      <c r="A843" s="33" t="s">
        <v>277</v>
      </c>
      <c r="B843" s="67" t="s">
        <v>120</v>
      </c>
      <c r="C843" s="45" t="s">
        <v>33</v>
      </c>
      <c r="D843" s="66"/>
      <c r="E843" s="47">
        <f>E844</f>
        <v>703118.9</v>
      </c>
      <c r="F843" s="47">
        <f>F844</f>
        <v>0</v>
      </c>
      <c r="G843" s="47">
        <f>G844</f>
        <v>667398.1</v>
      </c>
      <c r="H843" s="47">
        <f>H844</f>
        <v>0</v>
      </c>
      <c r="I843" s="121"/>
    </row>
    <row r="844" spans="1:9" s="1" customFormat="1" ht="19.5" customHeight="1">
      <c r="A844" s="72" t="s">
        <v>100</v>
      </c>
      <c r="B844" s="35" t="s">
        <v>120</v>
      </c>
      <c r="C844" s="8" t="s">
        <v>33</v>
      </c>
      <c r="D844" s="45"/>
      <c r="E844" s="37">
        <f>E860+E863+E870+E848+E857+E845+E876+E854+E882+E873+E851+E879</f>
        <v>703118.9</v>
      </c>
      <c r="F844" s="37">
        <f>F860+F863+F870+F848+F857+F845+F876+F854+F882</f>
        <v>0</v>
      </c>
      <c r="G844" s="37">
        <f>G860+G863+G870+G848+G857+G845+G876+G854+G882+G873+G851+G879</f>
        <v>667398.1</v>
      </c>
      <c r="H844" s="37">
        <f>H860+H863+H870+H848+H857+H845+H876+H854+H882</f>
        <v>0</v>
      </c>
      <c r="I844" s="120"/>
    </row>
    <row r="845" spans="1:9" s="1" customFormat="1" ht="59.25" customHeight="1">
      <c r="A845" s="43" t="s">
        <v>428</v>
      </c>
      <c r="B845" s="35" t="s">
        <v>120</v>
      </c>
      <c r="C845" s="36" t="s">
        <v>220</v>
      </c>
      <c r="D845" s="45"/>
      <c r="E845" s="37">
        <f>E846</f>
        <v>420</v>
      </c>
      <c r="F845" s="54"/>
      <c r="G845" s="37">
        <f>G846</f>
        <v>0</v>
      </c>
      <c r="H845" s="54"/>
      <c r="I845" s="120"/>
    </row>
    <row r="846" spans="1:9" s="1" customFormat="1" ht="32.25" customHeight="1">
      <c r="A846" s="57" t="s">
        <v>328</v>
      </c>
      <c r="B846" s="35" t="s">
        <v>120</v>
      </c>
      <c r="C846" s="36" t="s">
        <v>220</v>
      </c>
      <c r="D846" s="45" t="s">
        <v>327</v>
      </c>
      <c r="E846" s="37">
        <f>E847</f>
        <v>420</v>
      </c>
      <c r="F846" s="54"/>
      <c r="G846" s="37">
        <f>G847</f>
        <v>0</v>
      </c>
      <c r="H846" s="54"/>
      <c r="I846" s="120"/>
    </row>
    <row r="847" spans="1:9" s="1" customFormat="1" ht="24" customHeight="1">
      <c r="A847" s="40" t="s">
        <v>326</v>
      </c>
      <c r="B847" s="35" t="s">
        <v>120</v>
      </c>
      <c r="C847" s="36" t="s">
        <v>220</v>
      </c>
      <c r="D847" s="45" t="s">
        <v>325</v>
      </c>
      <c r="E847" s="37">
        <f>420</f>
        <v>420</v>
      </c>
      <c r="F847" s="54"/>
      <c r="G847" s="37">
        <v>0</v>
      </c>
      <c r="H847" s="54"/>
      <c r="I847" s="120"/>
    </row>
    <row r="848" spans="1:9" s="1" customFormat="1" ht="60.75" customHeight="1">
      <c r="A848" s="40" t="s">
        <v>319</v>
      </c>
      <c r="B848" s="35" t="s">
        <v>120</v>
      </c>
      <c r="C848" s="36" t="s">
        <v>221</v>
      </c>
      <c r="D848" s="8"/>
      <c r="E848" s="37">
        <f>E849</f>
        <v>2087</v>
      </c>
      <c r="F848" s="54"/>
      <c r="G848" s="37">
        <f>G849</f>
        <v>2087</v>
      </c>
      <c r="H848" s="54"/>
      <c r="I848" s="120"/>
    </row>
    <row r="849" spans="1:9" s="1" customFormat="1" ht="30.75" customHeight="1">
      <c r="A849" s="57" t="s">
        <v>328</v>
      </c>
      <c r="B849" s="35" t="s">
        <v>120</v>
      </c>
      <c r="C849" s="36" t="s">
        <v>221</v>
      </c>
      <c r="D849" s="34" t="s">
        <v>327</v>
      </c>
      <c r="E849" s="37">
        <f>E850</f>
        <v>2087</v>
      </c>
      <c r="F849" s="37"/>
      <c r="G849" s="37">
        <f>G850</f>
        <v>2087</v>
      </c>
      <c r="H849" s="37"/>
      <c r="I849" s="120"/>
    </row>
    <row r="850" spans="1:9" s="1" customFormat="1" ht="25.5" customHeight="1">
      <c r="A850" s="40" t="s">
        <v>326</v>
      </c>
      <c r="B850" s="35" t="s">
        <v>120</v>
      </c>
      <c r="C850" s="36" t="s">
        <v>221</v>
      </c>
      <c r="D850" s="34" t="s">
        <v>325</v>
      </c>
      <c r="E850" s="37">
        <f>2079+8</f>
        <v>2087</v>
      </c>
      <c r="F850" s="54"/>
      <c r="G850" s="37">
        <v>2087</v>
      </c>
      <c r="H850" s="54"/>
      <c r="I850" s="120"/>
    </row>
    <row r="851" spans="1:9" s="1" customFormat="1" ht="32.25" customHeight="1">
      <c r="A851" s="40" t="s">
        <v>649</v>
      </c>
      <c r="B851" s="35" t="s">
        <v>120</v>
      </c>
      <c r="C851" s="8" t="s">
        <v>695</v>
      </c>
      <c r="D851" s="36"/>
      <c r="E851" s="37">
        <f>E852</f>
        <v>2232.6</v>
      </c>
      <c r="F851" s="54"/>
      <c r="G851" s="37">
        <f>G852</f>
        <v>2232.6</v>
      </c>
      <c r="H851" s="54"/>
      <c r="I851" s="120"/>
    </row>
    <row r="852" spans="1:9" s="1" customFormat="1" ht="29.25" customHeight="1">
      <c r="A852" s="33" t="s">
        <v>328</v>
      </c>
      <c r="B852" s="35" t="s">
        <v>120</v>
      </c>
      <c r="C852" s="8" t="s">
        <v>695</v>
      </c>
      <c r="D852" s="36" t="s">
        <v>327</v>
      </c>
      <c r="E852" s="37">
        <f>E853</f>
        <v>2232.6</v>
      </c>
      <c r="F852" s="54"/>
      <c r="G852" s="37">
        <f>G853</f>
        <v>2232.6</v>
      </c>
      <c r="H852" s="54"/>
      <c r="I852" s="120"/>
    </row>
    <row r="853" spans="1:9" s="1" customFormat="1" ht="20.25" customHeight="1">
      <c r="A853" s="40" t="s">
        <v>326</v>
      </c>
      <c r="B853" s="35" t="s">
        <v>120</v>
      </c>
      <c r="C853" s="8" t="s">
        <v>695</v>
      </c>
      <c r="D853" s="36" t="s">
        <v>325</v>
      </c>
      <c r="E853" s="37">
        <f>2232.6</f>
        <v>2232.6</v>
      </c>
      <c r="F853" s="54"/>
      <c r="G853" s="37">
        <v>2232.6</v>
      </c>
      <c r="H853" s="54"/>
      <c r="I853" s="120"/>
    </row>
    <row r="854" spans="1:9" s="1" customFormat="1" ht="60.75" customHeight="1">
      <c r="A854" s="40" t="s">
        <v>468</v>
      </c>
      <c r="B854" s="35" t="s">
        <v>120</v>
      </c>
      <c r="C854" s="36" t="s">
        <v>469</v>
      </c>
      <c r="D854" s="8"/>
      <c r="E854" s="37">
        <f>E855</f>
        <v>6776</v>
      </c>
      <c r="F854" s="54"/>
      <c r="G854" s="37">
        <f>G855</f>
        <v>6776</v>
      </c>
      <c r="H854" s="54"/>
      <c r="I854" s="120"/>
    </row>
    <row r="855" spans="1:9" s="1" customFormat="1" ht="30.75" customHeight="1">
      <c r="A855" s="57" t="s">
        <v>328</v>
      </c>
      <c r="B855" s="35" t="s">
        <v>120</v>
      </c>
      <c r="C855" s="36" t="s">
        <v>469</v>
      </c>
      <c r="D855" s="34" t="s">
        <v>327</v>
      </c>
      <c r="E855" s="37">
        <f>E856</f>
        <v>6776</v>
      </c>
      <c r="F855" s="37"/>
      <c r="G855" s="37">
        <f>G856</f>
        <v>6776</v>
      </c>
      <c r="H855" s="37"/>
      <c r="I855" s="120"/>
    </row>
    <row r="856" spans="1:9" s="1" customFormat="1" ht="25.5" customHeight="1">
      <c r="A856" s="40" t="s">
        <v>326</v>
      </c>
      <c r="B856" s="35" t="s">
        <v>120</v>
      </c>
      <c r="C856" s="36" t="s">
        <v>469</v>
      </c>
      <c r="D856" s="34" t="s">
        <v>325</v>
      </c>
      <c r="E856" s="37">
        <f>6942-16-150</f>
        <v>6776</v>
      </c>
      <c r="F856" s="54"/>
      <c r="G856" s="37">
        <v>6776</v>
      </c>
      <c r="H856" s="54"/>
      <c r="I856" s="120"/>
    </row>
    <row r="857" spans="1:9" s="1" customFormat="1" ht="33.75" customHeight="1">
      <c r="A857" s="33" t="s">
        <v>389</v>
      </c>
      <c r="B857" s="35" t="s">
        <v>120</v>
      </c>
      <c r="C857" s="8" t="s">
        <v>343</v>
      </c>
      <c r="D857" s="34"/>
      <c r="E857" s="37">
        <f>E858</f>
        <v>5538.4</v>
      </c>
      <c r="F857" s="54"/>
      <c r="G857" s="37">
        <f>G858</f>
        <v>5538.4</v>
      </c>
      <c r="H857" s="54"/>
      <c r="I857" s="120"/>
    </row>
    <row r="858" spans="1:9" s="1" customFormat="1" ht="33" customHeight="1">
      <c r="A858" s="57" t="s">
        <v>328</v>
      </c>
      <c r="B858" s="35" t="s">
        <v>120</v>
      </c>
      <c r="C858" s="36" t="s">
        <v>343</v>
      </c>
      <c r="D858" s="34" t="s">
        <v>327</v>
      </c>
      <c r="E858" s="37">
        <f>E859</f>
        <v>5538.4</v>
      </c>
      <c r="F858" s="37"/>
      <c r="G858" s="37">
        <f>G859</f>
        <v>5538.4</v>
      </c>
      <c r="H858" s="37"/>
      <c r="I858" s="120"/>
    </row>
    <row r="859" spans="1:9" s="1" customFormat="1" ht="27.75" customHeight="1">
      <c r="A859" s="40" t="s">
        <v>326</v>
      </c>
      <c r="B859" s="35" t="s">
        <v>120</v>
      </c>
      <c r="C859" s="8" t="s">
        <v>343</v>
      </c>
      <c r="D859" s="34" t="s">
        <v>325</v>
      </c>
      <c r="E859" s="37">
        <f>5538.4</f>
        <v>5538.4</v>
      </c>
      <c r="F859" s="54"/>
      <c r="G859" s="37">
        <v>5538.4</v>
      </c>
      <c r="H859" s="54"/>
      <c r="I859" s="120"/>
    </row>
    <row r="860" spans="1:9" s="1" customFormat="1" ht="32.25" customHeight="1">
      <c r="A860" s="39" t="s">
        <v>390</v>
      </c>
      <c r="B860" s="35" t="s">
        <v>120</v>
      </c>
      <c r="C860" s="36" t="s">
        <v>344</v>
      </c>
      <c r="D860" s="34"/>
      <c r="E860" s="37">
        <f>E861</f>
        <v>335909.50000000006</v>
      </c>
      <c r="F860" s="37"/>
      <c r="G860" s="37">
        <f>G861</f>
        <v>335909.5</v>
      </c>
      <c r="H860" s="37"/>
      <c r="I860" s="120"/>
    </row>
    <row r="861" spans="1:9" s="1" customFormat="1" ht="32.25" customHeight="1">
      <c r="A861" s="33" t="s">
        <v>328</v>
      </c>
      <c r="B861" s="35" t="s">
        <v>120</v>
      </c>
      <c r="C861" s="36" t="s">
        <v>344</v>
      </c>
      <c r="D861" s="34" t="s">
        <v>327</v>
      </c>
      <c r="E861" s="37">
        <f>E862</f>
        <v>335909.50000000006</v>
      </c>
      <c r="F861" s="54"/>
      <c r="G861" s="37">
        <f>G862</f>
        <v>335909.5</v>
      </c>
      <c r="H861" s="54"/>
      <c r="I861" s="120"/>
    </row>
    <row r="862" spans="1:9" s="1" customFormat="1" ht="27" customHeight="1">
      <c r="A862" s="39" t="s">
        <v>326</v>
      </c>
      <c r="B862" s="35" t="s">
        <v>120</v>
      </c>
      <c r="C862" s="36" t="s">
        <v>344</v>
      </c>
      <c r="D862" s="34" t="s">
        <v>325</v>
      </c>
      <c r="E862" s="37">
        <f>341377-300+8-0.1+10221.2+150-10000-8000+2843.5+3317.5-3707.6+41187-41187</f>
        <v>335909.50000000006</v>
      </c>
      <c r="F862" s="37"/>
      <c r="G862" s="37">
        <v>335909.5</v>
      </c>
      <c r="H862" s="37"/>
      <c r="I862" s="120"/>
    </row>
    <row r="863" spans="1:9" s="1" customFormat="1" ht="25.5" customHeight="1">
      <c r="A863" s="40" t="s">
        <v>387</v>
      </c>
      <c r="B863" s="35" t="s">
        <v>120</v>
      </c>
      <c r="C863" s="8" t="s">
        <v>345</v>
      </c>
      <c r="D863" s="66"/>
      <c r="E863" s="37">
        <f>E867+E864</f>
        <v>3075.8</v>
      </c>
      <c r="F863" s="54"/>
      <c r="G863" s="37">
        <f>G867+G864</f>
        <v>3045</v>
      </c>
      <c r="H863" s="54"/>
      <c r="I863" s="120"/>
    </row>
    <row r="864" spans="1:9" s="1" customFormat="1" ht="26.25" customHeight="1">
      <c r="A864" s="43" t="s">
        <v>42</v>
      </c>
      <c r="B864" s="35" t="s">
        <v>120</v>
      </c>
      <c r="C864" s="8" t="s">
        <v>345</v>
      </c>
      <c r="D864" s="34" t="s">
        <v>336</v>
      </c>
      <c r="E864" s="37">
        <f>E865+E866</f>
        <v>153.8</v>
      </c>
      <c r="F864" s="54"/>
      <c r="G864" s="37">
        <f>G865+G866</f>
        <v>126</v>
      </c>
      <c r="H864" s="54"/>
      <c r="I864" s="120"/>
    </row>
    <row r="865" spans="1:9" s="1" customFormat="1" ht="25.5" customHeight="1">
      <c r="A865" s="43" t="s">
        <v>752</v>
      </c>
      <c r="B865" s="35" t="s">
        <v>120</v>
      </c>
      <c r="C865" s="8" t="s">
        <v>345</v>
      </c>
      <c r="D865" s="34" t="s">
        <v>750</v>
      </c>
      <c r="E865" s="37">
        <v>36</v>
      </c>
      <c r="F865" s="54"/>
      <c r="G865" s="37">
        <v>36</v>
      </c>
      <c r="H865" s="54"/>
      <c r="I865" s="120"/>
    </row>
    <row r="866" spans="1:9" s="1" customFormat="1" ht="27" customHeight="1">
      <c r="A866" s="43" t="s">
        <v>753</v>
      </c>
      <c r="B866" s="35" t="s">
        <v>120</v>
      </c>
      <c r="C866" s="8" t="s">
        <v>345</v>
      </c>
      <c r="D866" s="34" t="s">
        <v>751</v>
      </c>
      <c r="E866" s="37">
        <v>117.8</v>
      </c>
      <c r="F866" s="54"/>
      <c r="G866" s="37">
        <v>90</v>
      </c>
      <c r="H866" s="54"/>
      <c r="I866" s="120"/>
    </row>
    <row r="867" spans="1:9" s="1" customFormat="1" ht="32.25" customHeight="1">
      <c r="A867" s="33" t="s">
        <v>328</v>
      </c>
      <c r="B867" s="35" t="s">
        <v>120</v>
      </c>
      <c r="C867" s="8" t="s">
        <v>345</v>
      </c>
      <c r="D867" s="34" t="s">
        <v>327</v>
      </c>
      <c r="E867" s="37">
        <f>E868+E869</f>
        <v>2922</v>
      </c>
      <c r="F867" s="54"/>
      <c r="G867" s="37">
        <f>G868+G869</f>
        <v>2919</v>
      </c>
      <c r="H867" s="54"/>
      <c r="I867" s="120"/>
    </row>
    <row r="868" spans="1:9" s="1" customFormat="1" ht="24.75" customHeight="1">
      <c r="A868" s="40" t="s">
        <v>326</v>
      </c>
      <c r="B868" s="35" t="s">
        <v>120</v>
      </c>
      <c r="C868" s="8" t="s">
        <v>345</v>
      </c>
      <c r="D868" s="34" t="s">
        <v>325</v>
      </c>
      <c r="E868" s="37">
        <f>4283.5-1000-153.2-15+78.6-0.6-153.8-173.6</f>
        <v>2865.9</v>
      </c>
      <c r="F868" s="54"/>
      <c r="G868" s="37">
        <v>2865.9</v>
      </c>
      <c r="H868" s="54"/>
      <c r="I868" s="120"/>
    </row>
    <row r="869" spans="1:9" s="1" customFormat="1" ht="32.25" customHeight="1">
      <c r="A869" s="70" t="s">
        <v>47</v>
      </c>
      <c r="B869" s="35" t="s">
        <v>120</v>
      </c>
      <c r="C869" s="8" t="s">
        <v>345</v>
      </c>
      <c r="D869" s="34" t="s">
        <v>83</v>
      </c>
      <c r="E869" s="37">
        <f>56.1</f>
        <v>56.1</v>
      </c>
      <c r="F869" s="54"/>
      <c r="G869" s="37">
        <v>53.1</v>
      </c>
      <c r="H869" s="54"/>
      <c r="I869" s="120"/>
    </row>
    <row r="870" spans="1:9" s="1" customFormat="1" ht="24" customHeight="1">
      <c r="A870" s="39" t="s">
        <v>383</v>
      </c>
      <c r="B870" s="35" t="s">
        <v>120</v>
      </c>
      <c r="C870" s="36" t="s">
        <v>346</v>
      </c>
      <c r="D870" s="34"/>
      <c r="E870" s="37">
        <f>E871</f>
        <v>106215.49999999999</v>
      </c>
      <c r="F870" s="37"/>
      <c r="G870" s="37">
        <f>G871</f>
        <v>106215.5</v>
      </c>
      <c r="H870" s="37"/>
      <c r="I870" s="120"/>
    </row>
    <row r="871" spans="1:9" s="1" customFormat="1" ht="32.25" customHeight="1">
      <c r="A871" s="33" t="s">
        <v>328</v>
      </c>
      <c r="B871" s="35" t="s">
        <v>120</v>
      </c>
      <c r="C871" s="8" t="s">
        <v>346</v>
      </c>
      <c r="D871" s="34" t="s">
        <v>327</v>
      </c>
      <c r="E871" s="37">
        <f>E872</f>
        <v>106215.49999999999</v>
      </c>
      <c r="F871" s="54"/>
      <c r="G871" s="37">
        <f>G872</f>
        <v>106215.5</v>
      </c>
      <c r="H871" s="54"/>
      <c r="I871" s="120"/>
    </row>
    <row r="872" spans="1:9" s="1" customFormat="1" ht="22.5" customHeight="1">
      <c r="A872" s="40" t="s">
        <v>326</v>
      </c>
      <c r="B872" s="35" t="s">
        <v>120</v>
      </c>
      <c r="C872" s="8" t="s">
        <v>346</v>
      </c>
      <c r="D872" s="34" t="s">
        <v>325</v>
      </c>
      <c r="E872" s="37">
        <f>100800-200+174.2-2456.6-4167+82+1074.7-1000+3000+4000+300+1902+721.5-20.5-22+628.5+978.7+420</f>
        <v>106215.49999999999</v>
      </c>
      <c r="F872" s="54"/>
      <c r="G872" s="37">
        <v>106215.5</v>
      </c>
      <c r="H872" s="54"/>
      <c r="I872" s="120"/>
    </row>
    <row r="873" spans="1:9" s="1" customFormat="1" ht="49.5" customHeight="1">
      <c r="A873" s="39" t="s">
        <v>614</v>
      </c>
      <c r="B873" s="35" t="s">
        <v>120</v>
      </c>
      <c r="C873" s="36" t="s">
        <v>712</v>
      </c>
      <c r="D873" s="34"/>
      <c r="E873" s="41">
        <f aca="true" t="shared" si="51" ref="E873:H874">E874</f>
        <v>239364.3</v>
      </c>
      <c r="F873" s="41">
        <f t="shared" si="51"/>
        <v>0</v>
      </c>
      <c r="G873" s="41">
        <f t="shared" si="51"/>
        <v>204644.1</v>
      </c>
      <c r="H873" s="41">
        <f t="shared" si="51"/>
        <v>0</v>
      </c>
      <c r="I873" s="120"/>
    </row>
    <row r="874" spans="1:9" s="1" customFormat="1" ht="33" customHeight="1">
      <c r="A874" s="43" t="s">
        <v>315</v>
      </c>
      <c r="B874" s="35" t="s">
        <v>120</v>
      </c>
      <c r="C874" s="36" t="s">
        <v>712</v>
      </c>
      <c r="D874" s="34" t="s">
        <v>381</v>
      </c>
      <c r="E874" s="41">
        <f t="shared" si="51"/>
        <v>239364.3</v>
      </c>
      <c r="F874" s="41">
        <f t="shared" si="51"/>
        <v>0</v>
      </c>
      <c r="G874" s="41">
        <f t="shared" si="51"/>
        <v>204644.1</v>
      </c>
      <c r="H874" s="41">
        <f t="shared" si="51"/>
        <v>0</v>
      </c>
      <c r="I874" s="120"/>
    </row>
    <row r="875" spans="1:9" s="1" customFormat="1" ht="105.75" customHeight="1">
      <c r="A875" s="39" t="s">
        <v>7</v>
      </c>
      <c r="B875" s="35" t="s">
        <v>120</v>
      </c>
      <c r="C875" s="36" t="s">
        <v>712</v>
      </c>
      <c r="D875" s="34" t="s">
        <v>6</v>
      </c>
      <c r="E875" s="41">
        <f>239364.3-19000+19000</f>
        <v>239364.3</v>
      </c>
      <c r="F875" s="41"/>
      <c r="G875" s="41">
        <v>204644.1</v>
      </c>
      <c r="H875" s="41"/>
      <c r="I875" s="120"/>
    </row>
    <row r="876" spans="1:9" s="1" customFormat="1" ht="45.75" customHeight="1">
      <c r="A876" s="39" t="s">
        <v>613</v>
      </c>
      <c r="B876" s="35" t="s">
        <v>120</v>
      </c>
      <c r="C876" s="36" t="s">
        <v>712</v>
      </c>
      <c r="D876" s="34"/>
      <c r="E876" s="41">
        <f aca="true" t="shared" si="52" ref="E876:H877">E877</f>
        <v>522</v>
      </c>
      <c r="F876" s="41">
        <f t="shared" si="52"/>
        <v>0</v>
      </c>
      <c r="G876" s="41">
        <f t="shared" si="52"/>
        <v>0</v>
      </c>
      <c r="H876" s="41">
        <f t="shared" si="52"/>
        <v>0</v>
      </c>
      <c r="I876" s="120"/>
    </row>
    <row r="877" spans="1:9" s="1" customFormat="1" ht="32.25" customHeight="1">
      <c r="A877" s="43" t="s">
        <v>315</v>
      </c>
      <c r="B877" s="35" t="s">
        <v>120</v>
      </c>
      <c r="C877" s="36" t="s">
        <v>712</v>
      </c>
      <c r="D877" s="34" t="s">
        <v>381</v>
      </c>
      <c r="E877" s="41">
        <f t="shared" si="52"/>
        <v>522</v>
      </c>
      <c r="F877" s="41">
        <f t="shared" si="52"/>
        <v>0</v>
      </c>
      <c r="G877" s="41">
        <f t="shared" si="52"/>
        <v>0</v>
      </c>
      <c r="H877" s="41">
        <f t="shared" si="52"/>
        <v>0</v>
      </c>
      <c r="I877" s="120"/>
    </row>
    <row r="878" spans="1:9" s="1" customFormat="1" ht="107.25" customHeight="1">
      <c r="A878" s="39" t="s">
        <v>7</v>
      </c>
      <c r="B878" s="35" t="s">
        <v>120</v>
      </c>
      <c r="C878" s="36" t="s">
        <v>712</v>
      </c>
      <c r="D878" s="34" t="s">
        <v>6</v>
      </c>
      <c r="E878" s="41">
        <f>13471.2-8471.2-4500+22</f>
        <v>522</v>
      </c>
      <c r="F878" s="41"/>
      <c r="G878" s="41">
        <v>0</v>
      </c>
      <c r="H878" s="41"/>
      <c r="I878" s="120"/>
    </row>
    <row r="879" spans="1:9" s="1" customFormat="1" ht="50.25" customHeight="1">
      <c r="A879" s="39" t="s">
        <v>704</v>
      </c>
      <c r="B879" s="35" t="s">
        <v>120</v>
      </c>
      <c r="C879" s="36" t="s">
        <v>714</v>
      </c>
      <c r="D879" s="34"/>
      <c r="E879" s="41">
        <f aca="true" t="shared" si="53" ref="E879:H880">E880</f>
        <v>27.8</v>
      </c>
      <c r="F879" s="41">
        <f t="shared" si="53"/>
        <v>0</v>
      </c>
      <c r="G879" s="41">
        <f t="shared" si="53"/>
        <v>0</v>
      </c>
      <c r="H879" s="41">
        <f t="shared" si="53"/>
        <v>0</v>
      </c>
      <c r="I879" s="120"/>
    </row>
    <row r="880" spans="1:9" s="1" customFormat="1" ht="36" customHeight="1">
      <c r="A880" s="43" t="s">
        <v>315</v>
      </c>
      <c r="B880" s="35" t="s">
        <v>120</v>
      </c>
      <c r="C880" s="36" t="s">
        <v>714</v>
      </c>
      <c r="D880" s="34" t="s">
        <v>381</v>
      </c>
      <c r="E880" s="41">
        <f t="shared" si="53"/>
        <v>27.8</v>
      </c>
      <c r="F880" s="41">
        <f t="shared" si="53"/>
        <v>0</v>
      </c>
      <c r="G880" s="41">
        <f t="shared" si="53"/>
        <v>0</v>
      </c>
      <c r="H880" s="41">
        <f t="shared" si="53"/>
        <v>0</v>
      </c>
      <c r="I880" s="120"/>
    </row>
    <row r="881" spans="1:9" s="1" customFormat="1" ht="105.75" customHeight="1">
      <c r="A881" s="39" t="s">
        <v>7</v>
      </c>
      <c r="B881" s="35" t="s">
        <v>120</v>
      </c>
      <c r="C881" s="36" t="s">
        <v>714</v>
      </c>
      <c r="D881" s="34" t="s">
        <v>6</v>
      </c>
      <c r="E881" s="41">
        <v>27.8</v>
      </c>
      <c r="F881" s="41"/>
      <c r="G881" s="41">
        <v>0</v>
      </c>
      <c r="H881" s="41"/>
      <c r="I881" s="120"/>
    </row>
    <row r="882" spans="1:9" s="1" customFormat="1" ht="31.5" customHeight="1">
      <c r="A882" s="39" t="s">
        <v>492</v>
      </c>
      <c r="B882" s="35" t="s">
        <v>120</v>
      </c>
      <c r="C882" s="36" t="s">
        <v>713</v>
      </c>
      <c r="D882" s="34"/>
      <c r="E882" s="41">
        <f>E883</f>
        <v>950</v>
      </c>
      <c r="F882" s="41"/>
      <c r="G882" s="41">
        <f>G883</f>
        <v>950</v>
      </c>
      <c r="H882" s="41"/>
      <c r="I882" s="120"/>
    </row>
    <row r="883" spans="1:9" s="1" customFormat="1" ht="28.5" customHeight="1">
      <c r="A883" s="43" t="s">
        <v>315</v>
      </c>
      <c r="B883" s="35" t="s">
        <v>120</v>
      </c>
      <c r="C883" s="36" t="s">
        <v>713</v>
      </c>
      <c r="D883" s="34" t="s">
        <v>381</v>
      </c>
      <c r="E883" s="41">
        <f>E884</f>
        <v>950</v>
      </c>
      <c r="F883" s="41">
        <f>F884</f>
        <v>0</v>
      </c>
      <c r="G883" s="41">
        <f>G884</f>
        <v>950</v>
      </c>
      <c r="H883" s="41">
        <f>H884</f>
        <v>0</v>
      </c>
      <c r="I883" s="120"/>
    </row>
    <row r="884" spans="1:9" s="1" customFormat="1" ht="105.75" customHeight="1">
      <c r="A884" s="39" t="s">
        <v>7</v>
      </c>
      <c r="B884" s="35" t="s">
        <v>120</v>
      </c>
      <c r="C884" s="36" t="s">
        <v>713</v>
      </c>
      <c r="D884" s="34" t="s">
        <v>6</v>
      </c>
      <c r="E884" s="41">
        <f>2500-1750+200</f>
        <v>950</v>
      </c>
      <c r="F884" s="41"/>
      <c r="G884" s="41">
        <v>950</v>
      </c>
      <c r="H884" s="41"/>
      <c r="I884" s="120"/>
    </row>
    <row r="885" spans="1:9" s="1" customFormat="1" ht="21" customHeight="1">
      <c r="A885" s="77" t="s">
        <v>240</v>
      </c>
      <c r="B885" s="35" t="s">
        <v>120</v>
      </c>
      <c r="C885" s="36" t="s">
        <v>356</v>
      </c>
      <c r="D885" s="34"/>
      <c r="E885" s="37">
        <f>E886</f>
        <v>1225.1</v>
      </c>
      <c r="F885" s="37">
        <f>F886</f>
        <v>0</v>
      </c>
      <c r="G885" s="37">
        <f>G886</f>
        <v>1225.1</v>
      </c>
      <c r="H885" s="37">
        <f>H886</f>
        <v>0</v>
      </c>
      <c r="I885" s="120"/>
    </row>
    <row r="886" spans="1:9" s="1" customFormat="1" ht="30" customHeight="1">
      <c r="A886" s="77" t="s">
        <v>429</v>
      </c>
      <c r="B886" s="35" t="s">
        <v>120</v>
      </c>
      <c r="C886" s="8" t="s">
        <v>357</v>
      </c>
      <c r="D886" s="35"/>
      <c r="E886" s="37">
        <f>E887</f>
        <v>1225.1</v>
      </c>
      <c r="F886" s="37"/>
      <c r="G886" s="37">
        <f>G887</f>
        <v>1225.1</v>
      </c>
      <c r="H886" s="37"/>
      <c r="I886" s="120"/>
    </row>
    <row r="887" spans="1:9" s="1" customFormat="1" ht="32.25" customHeight="1">
      <c r="A887" s="38" t="s">
        <v>328</v>
      </c>
      <c r="B887" s="35" t="s">
        <v>120</v>
      </c>
      <c r="C887" s="8" t="s">
        <v>357</v>
      </c>
      <c r="D887" s="35" t="s">
        <v>327</v>
      </c>
      <c r="E887" s="54">
        <f>E888</f>
        <v>1225.1</v>
      </c>
      <c r="F887" s="41"/>
      <c r="G887" s="54">
        <f>G888</f>
        <v>1225.1</v>
      </c>
      <c r="H887" s="41"/>
      <c r="I887" s="120"/>
    </row>
    <row r="888" spans="1:9" s="1" customFormat="1" ht="24" customHeight="1">
      <c r="A888" s="40" t="s">
        <v>326</v>
      </c>
      <c r="B888" s="35" t="s">
        <v>120</v>
      </c>
      <c r="C888" s="8" t="s">
        <v>357</v>
      </c>
      <c r="D888" s="35" t="s">
        <v>325</v>
      </c>
      <c r="E888" s="54">
        <f>1000+225.1</f>
        <v>1225.1</v>
      </c>
      <c r="F888" s="41"/>
      <c r="G888" s="54">
        <v>1225.1</v>
      </c>
      <c r="H888" s="41"/>
      <c r="I888" s="120"/>
    </row>
    <row r="889" spans="1:9" s="1" customFormat="1" ht="31.5" customHeight="1">
      <c r="A889" s="49" t="s">
        <v>264</v>
      </c>
      <c r="B889" s="35" t="s">
        <v>120</v>
      </c>
      <c r="C889" s="44" t="s">
        <v>358</v>
      </c>
      <c r="D889" s="44"/>
      <c r="E889" s="47">
        <f>E890</f>
        <v>1000</v>
      </c>
      <c r="F889" s="41"/>
      <c r="G889" s="47">
        <f>G890</f>
        <v>1000</v>
      </c>
      <c r="H889" s="41"/>
      <c r="I889" s="120"/>
    </row>
    <row r="890" spans="1:9" s="1" customFormat="1" ht="47.25" customHeight="1">
      <c r="A890" s="65" t="s">
        <v>334</v>
      </c>
      <c r="B890" s="35" t="s">
        <v>120</v>
      </c>
      <c r="C890" s="44" t="s">
        <v>359</v>
      </c>
      <c r="D890" s="44"/>
      <c r="E890" s="47">
        <f>E891</f>
        <v>1000</v>
      </c>
      <c r="F890" s="41"/>
      <c r="G890" s="47">
        <f>G891</f>
        <v>1000</v>
      </c>
      <c r="H890" s="41"/>
      <c r="I890" s="120"/>
    </row>
    <row r="891" spans="1:9" s="1" customFormat="1" ht="30.75" customHeight="1">
      <c r="A891" s="49" t="s">
        <v>248</v>
      </c>
      <c r="B891" s="35" t="s">
        <v>120</v>
      </c>
      <c r="C891" s="44" t="s">
        <v>229</v>
      </c>
      <c r="D891" s="44"/>
      <c r="E891" s="47">
        <f>E892</f>
        <v>1000</v>
      </c>
      <c r="F891" s="41"/>
      <c r="G891" s="47">
        <f>G892</f>
        <v>1000</v>
      </c>
      <c r="H891" s="41"/>
      <c r="I891" s="120"/>
    </row>
    <row r="892" spans="1:9" s="1" customFormat="1" ht="29.25" customHeight="1">
      <c r="A892" s="38" t="s">
        <v>328</v>
      </c>
      <c r="B892" s="35" t="s">
        <v>120</v>
      </c>
      <c r="C892" s="44" t="s">
        <v>229</v>
      </c>
      <c r="D892" s="44" t="s">
        <v>327</v>
      </c>
      <c r="E892" s="47">
        <f>E893</f>
        <v>1000</v>
      </c>
      <c r="F892" s="41"/>
      <c r="G892" s="47">
        <f>G893</f>
        <v>1000</v>
      </c>
      <c r="H892" s="41"/>
      <c r="I892" s="120"/>
    </row>
    <row r="893" spans="1:9" s="1" customFormat="1" ht="24" customHeight="1">
      <c r="A893" s="40" t="s">
        <v>326</v>
      </c>
      <c r="B893" s="35" t="s">
        <v>120</v>
      </c>
      <c r="C893" s="44" t="s">
        <v>229</v>
      </c>
      <c r="D893" s="44" t="s">
        <v>325</v>
      </c>
      <c r="E893" s="47">
        <f>1000</f>
        <v>1000</v>
      </c>
      <c r="F893" s="41"/>
      <c r="G893" s="47">
        <v>1000</v>
      </c>
      <c r="H893" s="41"/>
      <c r="I893" s="120"/>
    </row>
    <row r="894" spans="1:9" s="1" customFormat="1" ht="24" customHeight="1">
      <c r="A894" s="56" t="s">
        <v>204</v>
      </c>
      <c r="B894" s="96" t="s">
        <v>203</v>
      </c>
      <c r="C894" s="8"/>
      <c r="D894" s="66"/>
      <c r="E894" s="123">
        <f>E895</f>
        <v>445353.6000000001</v>
      </c>
      <c r="F894" s="123">
        <f>F895</f>
        <v>16132.2</v>
      </c>
      <c r="G894" s="123">
        <f>G895</f>
        <v>445282.20000000007</v>
      </c>
      <c r="H894" s="123">
        <f>H895</f>
        <v>16132.2</v>
      </c>
      <c r="I894" s="16">
        <f>G894/E894*100</f>
        <v>99.98396779547757</v>
      </c>
    </row>
    <row r="895" spans="1:9" s="1" customFormat="1" ht="23.25" customHeight="1">
      <c r="A895" s="99" t="s">
        <v>101</v>
      </c>
      <c r="B895" s="35" t="s">
        <v>203</v>
      </c>
      <c r="C895" s="8"/>
      <c r="D895" s="71"/>
      <c r="E895" s="73">
        <f>E896+E913</f>
        <v>445353.6000000001</v>
      </c>
      <c r="F895" s="73">
        <f>F896+F913</f>
        <v>16132.2</v>
      </c>
      <c r="G895" s="73">
        <f>G896+G913</f>
        <v>445282.20000000007</v>
      </c>
      <c r="H895" s="73">
        <f>H896+H913</f>
        <v>16132.2</v>
      </c>
      <c r="I895" s="120"/>
    </row>
    <row r="896" spans="1:9" s="1" customFormat="1" ht="45.75" customHeight="1">
      <c r="A896" s="49" t="s">
        <v>258</v>
      </c>
      <c r="B896" s="35" t="s">
        <v>203</v>
      </c>
      <c r="C896" s="8" t="s">
        <v>135</v>
      </c>
      <c r="D896" s="34"/>
      <c r="E896" s="74">
        <f>E897</f>
        <v>182762.80000000002</v>
      </c>
      <c r="F896" s="74">
        <f>F897</f>
        <v>2360</v>
      </c>
      <c r="G896" s="74">
        <f>G897</f>
        <v>182691.4</v>
      </c>
      <c r="H896" s="74">
        <f>H897</f>
        <v>2360</v>
      </c>
      <c r="I896" s="120"/>
    </row>
    <row r="897" spans="1:9" s="1" customFormat="1" ht="33.75" customHeight="1">
      <c r="A897" s="57" t="s">
        <v>278</v>
      </c>
      <c r="B897" s="35" t="s">
        <v>203</v>
      </c>
      <c r="C897" s="36" t="s">
        <v>347</v>
      </c>
      <c r="D897" s="34"/>
      <c r="E897" s="73">
        <f>E904+E907+E910+E898+E901</f>
        <v>182762.80000000002</v>
      </c>
      <c r="F897" s="73">
        <f>F904+F907+F910+F898+F901</f>
        <v>2360</v>
      </c>
      <c r="G897" s="73">
        <f>G904+G907+G910+G898+G901</f>
        <v>182691.4</v>
      </c>
      <c r="H897" s="73">
        <f>H904+H907+H910+H898+H901</f>
        <v>2360</v>
      </c>
      <c r="I897" s="120"/>
    </row>
    <row r="898" spans="1:9" s="1" customFormat="1" ht="47.25" customHeight="1">
      <c r="A898" s="48" t="s">
        <v>617</v>
      </c>
      <c r="B898" s="35" t="s">
        <v>203</v>
      </c>
      <c r="C898" s="36" t="s">
        <v>642</v>
      </c>
      <c r="D898" s="34"/>
      <c r="E898" s="41">
        <f aca="true" t="shared" si="54" ref="E898:H899">E899</f>
        <v>1560</v>
      </c>
      <c r="F898" s="41">
        <f t="shared" si="54"/>
        <v>1560</v>
      </c>
      <c r="G898" s="41">
        <f t="shared" si="54"/>
        <v>1560</v>
      </c>
      <c r="H898" s="41">
        <f t="shared" si="54"/>
        <v>1560</v>
      </c>
      <c r="I898" s="120"/>
    </row>
    <row r="899" spans="1:9" s="1" customFormat="1" ht="31.5" customHeight="1">
      <c r="A899" s="57" t="s">
        <v>328</v>
      </c>
      <c r="B899" s="35" t="s">
        <v>203</v>
      </c>
      <c r="C899" s="36" t="s">
        <v>642</v>
      </c>
      <c r="D899" s="34" t="s">
        <v>327</v>
      </c>
      <c r="E899" s="41">
        <f t="shared" si="54"/>
        <v>1560</v>
      </c>
      <c r="F899" s="41">
        <f t="shared" si="54"/>
        <v>1560</v>
      </c>
      <c r="G899" s="41">
        <f t="shared" si="54"/>
        <v>1560</v>
      </c>
      <c r="H899" s="41">
        <f t="shared" si="54"/>
        <v>1560</v>
      </c>
      <c r="I899" s="120"/>
    </row>
    <row r="900" spans="1:9" s="1" customFormat="1" ht="19.5" customHeight="1">
      <c r="A900" s="57" t="s">
        <v>326</v>
      </c>
      <c r="B900" s="35" t="s">
        <v>203</v>
      </c>
      <c r="C900" s="36" t="s">
        <v>642</v>
      </c>
      <c r="D900" s="34" t="s">
        <v>325</v>
      </c>
      <c r="E900" s="41">
        <f>600+800+160</f>
        <v>1560</v>
      </c>
      <c r="F900" s="41">
        <f>E900</f>
        <v>1560</v>
      </c>
      <c r="G900" s="41">
        <v>1560</v>
      </c>
      <c r="H900" s="41">
        <f>G900</f>
        <v>1560</v>
      </c>
      <c r="I900" s="120"/>
    </row>
    <row r="901" spans="1:9" s="1" customFormat="1" ht="75.75" customHeight="1">
      <c r="A901" s="40" t="s">
        <v>694</v>
      </c>
      <c r="B901" s="35" t="s">
        <v>203</v>
      </c>
      <c r="C901" s="36" t="s">
        <v>688</v>
      </c>
      <c r="D901" s="34"/>
      <c r="E901" s="41">
        <f aca="true" t="shared" si="55" ref="E901:H902">E902</f>
        <v>880</v>
      </c>
      <c r="F901" s="41">
        <f t="shared" si="55"/>
        <v>800</v>
      </c>
      <c r="G901" s="41">
        <f t="shared" si="55"/>
        <v>880</v>
      </c>
      <c r="H901" s="41">
        <f t="shared" si="55"/>
        <v>800</v>
      </c>
      <c r="I901" s="120"/>
    </row>
    <row r="902" spans="1:9" s="1" customFormat="1" ht="27.75" customHeight="1">
      <c r="A902" s="57" t="s">
        <v>328</v>
      </c>
      <c r="B902" s="35" t="s">
        <v>203</v>
      </c>
      <c r="C902" s="36" t="s">
        <v>688</v>
      </c>
      <c r="D902" s="34" t="s">
        <v>327</v>
      </c>
      <c r="E902" s="41">
        <f t="shared" si="55"/>
        <v>880</v>
      </c>
      <c r="F902" s="41">
        <f t="shared" si="55"/>
        <v>800</v>
      </c>
      <c r="G902" s="41">
        <f t="shared" si="55"/>
        <v>880</v>
      </c>
      <c r="H902" s="41">
        <f t="shared" si="55"/>
        <v>800</v>
      </c>
      <c r="I902" s="120"/>
    </row>
    <row r="903" spans="1:9" s="1" customFormat="1" ht="19.5" customHeight="1">
      <c r="A903" s="39" t="s">
        <v>326</v>
      </c>
      <c r="B903" s="35" t="s">
        <v>203</v>
      </c>
      <c r="C903" s="36" t="s">
        <v>688</v>
      </c>
      <c r="D903" s="34" t="s">
        <v>325</v>
      </c>
      <c r="E903" s="41">
        <f>800+80</f>
        <v>880</v>
      </c>
      <c r="F903" s="41">
        <v>800</v>
      </c>
      <c r="G903" s="41">
        <v>880</v>
      </c>
      <c r="H903" s="41">
        <v>800</v>
      </c>
      <c r="I903" s="120"/>
    </row>
    <row r="904" spans="1:9" s="1" customFormat="1" ht="30.75" customHeight="1">
      <c r="A904" s="40" t="s">
        <v>394</v>
      </c>
      <c r="B904" s="35" t="s">
        <v>203</v>
      </c>
      <c r="C904" s="8" t="s">
        <v>348</v>
      </c>
      <c r="D904" s="75"/>
      <c r="E904" s="76">
        <f>E905</f>
        <v>166040.40000000002</v>
      </c>
      <c r="F904" s="41"/>
      <c r="G904" s="76">
        <f>G905</f>
        <v>166040.4</v>
      </c>
      <c r="H904" s="41"/>
      <c r="I904" s="120"/>
    </row>
    <row r="905" spans="1:9" s="1" customFormat="1" ht="30" customHeight="1">
      <c r="A905" s="57" t="s">
        <v>328</v>
      </c>
      <c r="B905" s="35" t="s">
        <v>203</v>
      </c>
      <c r="C905" s="8" t="s">
        <v>348</v>
      </c>
      <c r="D905" s="36" t="s">
        <v>327</v>
      </c>
      <c r="E905" s="37">
        <f>E906</f>
        <v>166040.40000000002</v>
      </c>
      <c r="F905" s="41"/>
      <c r="G905" s="37">
        <f>G906</f>
        <v>166040.4</v>
      </c>
      <c r="H905" s="41"/>
      <c r="I905" s="120"/>
    </row>
    <row r="906" spans="1:9" s="1" customFormat="1" ht="21.75" customHeight="1">
      <c r="A906" s="40" t="s">
        <v>326</v>
      </c>
      <c r="B906" s="35" t="s">
        <v>203</v>
      </c>
      <c r="C906" s="8" t="s">
        <v>348</v>
      </c>
      <c r="D906" s="75" t="s">
        <v>325</v>
      </c>
      <c r="E906" s="76">
        <f>151741.6+0.1-876-41475+10000+8000+149.7+15100+23400</f>
        <v>166040.40000000002</v>
      </c>
      <c r="F906" s="41"/>
      <c r="G906" s="76">
        <v>166040.4</v>
      </c>
      <c r="H906" s="41"/>
      <c r="I906" s="120"/>
    </row>
    <row r="907" spans="1:9" s="1" customFormat="1" ht="21.75" customHeight="1">
      <c r="A907" s="39" t="s">
        <v>387</v>
      </c>
      <c r="B907" s="35" t="s">
        <v>203</v>
      </c>
      <c r="C907" s="36" t="s">
        <v>349</v>
      </c>
      <c r="D907" s="36"/>
      <c r="E907" s="37">
        <f>E908</f>
        <v>2563.5</v>
      </c>
      <c r="F907" s="41"/>
      <c r="G907" s="37">
        <f>G908</f>
        <v>2563.5</v>
      </c>
      <c r="H907" s="41"/>
      <c r="I907" s="120"/>
    </row>
    <row r="908" spans="1:9" s="1" customFormat="1" ht="33" customHeight="1">
      <c r="A908" s="57" t="s">
        <v>328</v>
      </c>
      <c r="B908" s="35" t="s">
        <v>203</v>
      </c>
      <c r="C908" s="8" t="s">
        <v>349</v>
      </c>
      <c r="D908" s="36" t="s">
        <v>327</v>
      </c>
      <c r="E908" s="37">
        <f>E909</f>
        <v>2563.5</v>
      </c>
      <c r="F908" s="41"/>
      <c r="G908" s="37">
        <f>G909</f>
        <v>2563.5</v>
      </c>
      <c r="H908" s="41"/>
      <c r="I908" s="120"/>
    </row>
    <row r="909" spans="1:9" s="1" customFormat="1" ht="21.75" customHeight="1">
      <c r="A909" s="40" t="s">
        <v>326</v>
      </c>
      <c r="B909" s="35" t="s">
        <v>203</v>
      </c>
      <c r="C909" s="8" t="s">
        <v>349</v>
      </c>
      <c r="D909" s="75" t="s">
        <v>325</v>
      </c>
      <c r="E909" s="37">
        <v>2563.5</v>
      </c>
      <c r="F909" s="42"/>
      <c r="G909" s="37">
        <v>2563.5</v>
      </c>
      <c r="H909" s="42"/>
      <c r="I909" s="120"/>
    </row>
    <row r="910" spans="1:9" s="1" customFormat="1" ht="21.75" customHeight="1">
      <c r="A910" s="39" t="s">
        <v>383</v>
      </c>
      <c r="B910" s="35" t="s">
        <v>203</v>
      </c>
      <c r="C910" s="36" t="s">
        <v>350</v>
      </c>
      <c r="D910" s="36"/>
      <c r="E910" s="37">
        <f>E911</f>
        <v>11718.9</v>
      </c>
      <c r="F910" s="41"/>
      <c r="G910" s="37">
        <f>G911</f>
        <v>11647.5</v>
      </c>
      <c r="H910" s="41"/>
      <c r="I910" s="120"/>
    </row>
    <row r="911" spans="1:9" s="1" customFormat="1" ht="30" customHeight="1">
      <c r="A911" s="33" t="s">
        <v>328</v>
      </c>
      <c r="B911" s="35" t="s">
        <v>203</v>
      </c>
      <c r="C911" s="36" t="s">
        <v>350</v>
      </c>
      <c r="D911" s="75" t="s">
        <v>327</v>
      </c>
      <c r="E911" s="37">
        <f>E912</f>
        <v>11718.9</v>
      </c>
      <c r="F911" s="42"/>
      <c r="G911" s="37">
        <f>G912</f>
        <v>11647.5</v>
      </c>
      <c r="H911" s="42"/>
      <c r="I911" s="120"/>
    </row>
    <row r="912" spans="1:9" s="1" customFormat="1" ht="19.5" customHeight="1">
      <c r="A912" s="39" t="s">
        <v>326</v>
      </c>
      <c r="B912" s="35" t="s">
        <v>203</v>
      </c>
      <c r="C912" s="36" t="s">
        <v>350</v>
      </c>
      <c r="D912" s="36" t="s">
        <v>325</v>
      </c>
      <c r="E912" s="37">
        <f>5740+5000-2000+21.5-80+3275-237.6</f>
        <v>11718.9</v>
      </c>
      <c r="F912" s="41"/>
      <c r="G912" s="37">
        <v>11647.5</v>
      </c>
      <c r="H912" s="41"/>
      <c r="I912" s="120"/>
    </row>
    <row r="913" spans="1:9" s="1" customFormat="1" ht="30.75" customHeight="1">
      <c r="A913" s="33" t="s">
        <v>265</v>
      </c>
      <c r="B913" s="35" t="s">
        <v>203</v>
      </c>
      <c r="C913" s="8" t="s">
        <v>351</v>
      </c>
      <c r="D913" s="35"/>
      <c r="E913" s="42">
        <f>E914</f>
        <v>262590.80000000005</v>
      </c>
      <c r="F913" s="42">
        <f>F914</f>
        <v>13772.2</v>
      </c>
      <c r="G913" s="42">
        <f>G914</f>
        <v>262590.80000000005</v>
      </c>
      <c r="H913" s="42">
        <f>H914</f>
        <v>13772.2</v>
      </c>
      <c r="I913" s="120"/>
    </row>
    <row r="914" spans="1:9" s="1" customFormat="1" ht="34.5" customHeight="1">
      <c r="A914" s="40" t="s">
        <v>305</v>
      </c>
      <c r="B914" s="35" t="s">
        <v>203</v>
      </c>
      <c r="C914" s="8" t="s">
        <v>352</v>
      </c>
      <c r="D914" s="35"/>
      <c r="E914" s="42">
        <f>E924+E927+E918+E921+E915+E930</f>
        <v>262590.80000000005</v>
      </c>
      <c r="F914" s="42">
        <f>F924+F927+F918+F921+F915</f>
        <v>13772.2</v>
      </c>
      <c r="G914" s="42">
        <f>G924+G927+G918+G921+G915+G930</f>
        <v>262590.80000000005</v>
      </c>
      <c r="H914" s="42">
        <f>H924+H927+H918+H921+H915</f>
        <v>13772.2</v>
      </c>
      <c r="I914" s="120"/>
    </row>
    <row r="915" spans="1:9" s="1" customFormat="1" ht="48" customHeight="1">
      <c r="A915" s="48" t="s">
        <v>617</v>
      </c>
      <c r="B915" s="35" t="s">
        <v>203</v>
      </c>
      <c r="C915" s="36" t="s">
        <v>659</v>
      </c>
      <c r="D915" s="34"/>
      <c r="E915" s="41">
        <f aca="true" t="shared" si="56" ref="E915:H916">E916</f>
        <v>320</v>
      </c>
      <c r="F915" s="41">
        <f t="shared" si="56"/>
        <v>320</v>
      </c>
      <c r="G915" s="41">
        <f t="shared" si="56"/>
        <v>320</v>
      </c>
      <c r="H915" s="41">
        <f t="shared" si="56"/>
        <v>320</v>
      </c>
      <c r="I915" s="120"/>
    </row>
    <row r="916" spans="1:9" s="1" customFormat="1" ht="29.25" customHeight="1">
      <c r="A916" s="57" t="s">
        <v>328</v>
      </c>
      <c r="B916" s="35" t="s">
        <v>203</v>
      </c>
      <c r="C916" s="36" t="s">
        <v>659</v>
      </c>
      <c r="D916" s="34" t="s">
        <v>327</v>
      </c>
      <c r="E916" s="41">
        <f t="shared" si="56"/>
        <v>320</v>
      </c>
      <c r="F916" s="41">
        <f t="shared" si="56"/>
        <v>320</v>
      </c>
      <c r="G916" s="41">
        <f t="shared" si="56"/>
        <v>320</v>
      </c>
      <c r="H916" s="41">
        <f t="shared" si="56"/>
        <v>320</v>
      </c>
      <c r="I916" s="120"/>
    </row>
    <row r="917" spans="1:9" s="1" customFormat="1" ht="18.75" customHeight="1">
      <c r="A917" s="57" t="s">
        <v>326</v>
      </c>
      <c r="B917" s="35" t="s">
        <v>203</v>
      </c>
      <c r="C917" s="36" t="s">
        <v>659</v>
      </c>
      <c r="D917" s="34" t="s">
        <v>325</v>
      </c>
      <c r="E917" s="41">
        <f>170+150</f>
        <v>320</v>
      </c>
      <c r="F917" s="41">
        <f>E917</f>
        <v>320</v>
      </c>
      <c r="G917" s="41">
        <v>320</v>
      </c>
      <c r="H917" s="41">
        <f>G917</f>
        <v>320</v>
      </c>
      <c r="I917" s="120"/>
    </row>
    <row r="918" spans="1:9" s="1" customFormat="1" ht="60" customHeight="1">
      <c r="A918" s="40" t="s">
        <v>517</v>
      </c>
      <c r="B918" s="35" t="s">
        <v>203</v>
      </c>
      <c r="C918" s="8" t="s">
        <v>709</v>
      </c>
      <c r="D918" s="34"/>
      <c r="E918" s="42">
        <f aca="true" t="shared" si="57" ref="E918:H919">E919</f>
        <v>13452.2</v>
      </c>
      <c r="F918" s="42">
        <f t="shared" si="57"/>
        <v>13452.2</v>
      </c>
      <c r="G918" s="42">
        <f t="shared" si="57"/>
        <v>13452.2</v>
      </c>
      <c r="H918" s="42">
        <f t="shared" si="57"/>
        <v>13452.2</v>
      </c>
      <c r="I918" s="120"/>
    </row>
    <row r="919" spans="1:9" s="1" customFormat="1" ht="34.5" customHeight="1">
      <c r="A919" s="33" t="s">
        <v>328</v>
      </c>
      <c r="B919" s="35" t="s">
        <v>203</v>
      </c>
      <c r="C919" s="8" t="s">
        <v>709</v>
      </c>
      <c r="D919" s="75" t="s">
        <v>327</v>
      </c>
      <c r="E919" s="42">
        <f t="shared" si="57"/>
        <v>13452.2</v>
      </c>
      <c r="F919" s="42">
        <f t="shared" si="57"/>
        <v>13452.2</v>
      </c>
      <c r="G919" s="42">
        <f t="shared" si="57"/>
        <v>13452.2</v>
      </c>
      <c r="H919" s="42">
        <f t="shared" si="57"/>
        <v>13452.2</v>
      </c>
      <c r="I919" s="120"/>
    </row>
    <row r="920" spans="1:9" s="1" customFormat="1" ht="25.5" customHeight="1">
      <c r="A920" s="39" t="s">
        <v>326</v>
      </c>
      <c r="B920" s="35" t="s">
        <v>203</v>
      </c>
      <c r="C920" s="8" t="s">
        <v>709</v>
      </c>
      <c r="D920" s="36" t="s">
        <v>325</v>
      </c>
      <c r="E920" s="42">
        <f>13940-487.8</f>
        <v>13452.2</v>
      </c>
      <c r="F920" s="42">
        <f>E920</f>
        <v>13452.2</v>
      </c>
      <c r="G920" s="42">
        <v>13452.2</v>
      </c>
      <c r="H920" s="42">
        <f>G920</f>
        <v>13452.2</v>
      </c>
      <c r="I920" s="120"/>
    </row>
    <row r="921" spans="1:9" s="1" customFormat="1" ht="62.25" customHeight="1">
      <c r="A921" s="40" t="s">
        <v>499</v>
      </c>
      <c r="B921" s="35" t="s">
        <v>203</v>
      </c>
      <c r="C921" s="8" t="s">
        <v>709</v>
      </c>
      <c r="D921" s="8"/>
      <c r="E921" s="42">
        <f>E922</f>
        <v>13452.1</v>
      </c>
      <c r="F921" s="42"/>
      <c r="G921" s="42">
        <f>G922</f>
        <v>13452.1</v>
      </c>
      <c r="H921" s="42"/>
      <c r="I921" s="120"/>
    </row>
    <row r="922" spans="1:9" s="1" customFormat="1" ht="31.5" customHeight="1">
      <c r="A922" s="33" t="s">
        <v>328</v>
      </c>
      <c r="B922" s="35" t="s">
        <v>203</v>
      </c>
      <c r="C922" s="8" t="s">
        <v>709</v>
      </c>
      <c r="D922" s="8" t="s">
        <v>327</v>
      </c>
      <c r="E922" s="42">
        <f>E923</f>
        <v>13452.1</v>
      </c>
      <c r="F922" s="42"/>
      <c r="G922" s="42">
        <f>G923</f>
        <v>13452.1</v>
      </c>
      <c r="H922" s="42"/>
      <c r="I922" s="120"/>
    </row>
    <row r="923" spans="1:9" s="1" customFormat="1" ht="24.75" customHeight="1">
      <c r="A923" s="39" t="s">
        <v>326</v>
      </c>
      <c r="B923" s="35" t="s">
        <v>203</v>
      </c>
      <c r="C923" s="8" t="s">
        <v>709</v>
      </c>
      <c r="D923" s="8" t="s">
        <v>325</v>
      </c>
      <c r="E923" s="42">
        <f>13940-487.9</f>
        <v>13452.1</v>
      </c>
      <c r="F923" s="42"/>
      <c r="G923" s="42">
        <v>13452.1</v>
      </c>
      <c r="H923" s="42"/>
      <c r="I923" s="120"/>
    </row>
    <row r="924" spans="1:9" s="1" customFormat="1" ht="34.5" customHeight="1">
      <c r="A924" s="40" t="s">
        <v>226</v>
      </c>
      <c r="B924" s="35" t="s">
        <v>203</v>
      </c>
      <c r="C924" s="8" t="s">
        <v>353</v>
      </c>
      <c r="D924" s="35"/>
      <c r="E924" s="42">
        <f>E925</f>
        <v>231641.5</v>
      </c>
      <c r="F924" s="42"/>
      <c r="G924" s="42">
        <f>G925</f>
        <v>231641.5</v>
      </c>
      <c r="H924" s="42"/>
      <c r="I924" s="120"/>
    </row>
    <row r="925" spans="1:9" s="1" customFormat="1" ht="31.5" customHeight="1">
      <c r="A925" s="33" t="s">
        <v>328</v>
      </c>
      <c r="B925" s="35" t="s">
        <v>203</v>
      </c>
      <c r="C925" s="8" t="s">
        <v>353</v>
      </c>
      <c r="D925" s="35" t="s">
        <v>327</v>
      </c>
      <c r="E925" s="42">
        <f>E926</f>
        <v>231641.5</v>
      </c>
      <c r="F925" s="41"/>
      <c r="G925" s="42">
        <f>G926</f>
        <v>231641.5</v>
      </c>
      <c r="H925" s="41"/>
      <c r="I925" s="120"/>
    </row>
    <row r="926" spans="1:9" s="1" customFormat="1" ht="20.25" customHeight="1">
      <c r="A926" s="40" t="s">
        <v>326</v>
      </c>
      <c r="B926" s="35" t="s">
        <v>203</v>
      </c>
      <c r="C926" s="8" t="s">
        <v>353</v>
      </c>
      <c r="D926" s="35" t="s">
        <v>325</v>
      </c>
      <c r="E926" s="42">
        <f>200666.8-5887+14000+149.7+2712+20000</f>
        <v>231641.5</v>
      </c>
      <c r="F926" s="41"/>
      <c r="G926" s="42">
        <v>231641.5</v>
      </c>
      <c r="H926" s="41"/>
      <c r="I926" s="120"/>
    </row>
    <row r="927" spans="1:9" s="1" customFormat="1" ht="20.25" customHeight="1">
      <c r="A927" s="40" t="s">
        <v>45</v>
      </c>
      <c r="B927" s="35" t="s">
        <v>203</v>
      </c>
      <c r="C927" s="8" t="s">
        <v>354</v>
      </c>
      <c r="D927" s="35"/>
      <c r="E927" s="42">
        <f>E928</f>
        <v>550</v>
      </c>
      <c r="F927" s="41"/>
      <c r="G927" s="42">
        <f>G928</f>
        <v>550</v>
      </c>
      <c r="H927" s="41"/>
      <c r="I927" s="120"/>
    </row>
    <row r="928" spans="1:9" s="1" customFormat="1" ht="28.5" customHeight="1">
      <c r="A928" s="33" t="s">
        <v>328</v>
      </c>
      <c r="B928" s="35" t="s">
        <v>203</v>
      </c>
      <c r="C928" s="8" t="s">
        <v>354</v>
      </c>
      <c r="D928" s="35" t="s">
        <v>327</v>
      </c>
      <c r="E928" s="42">
        <f>E929</f>
        <v>550</v>
      </c>
      <c r="F928" s="41"/>
      <c r="G928" s="42">
        <f>G929</f>
        <v>550</v>
      </c>
      <c r="H928" s="41"/>
      <c r="I928" s="120"/>
    </row>
    <row r="929" spans="1:9" s="1" customFormat="1" ht="20.25" customHeight="1">
      <c r="A929" s="40" t="s">
        <v>326</v>
      </c>
      <c r="B929" s="35" t="s">
        <v>203</v>
      </c>
      <c r="C929" s="8" t="s">
        <v>354</v>
      </c>
      <c r="D929" s="35" t="s">
        <v>325</v>
      </c>
      <c r="E929" s="42">
        <v>550</v>
      </c>
      <c r="F929" s="41"/>
      <c r="G929" s="42">
        <v>550</v>
      </c>
      <c r="H929" s="41"/>
      <c r="I929" s="120"/>
    </row>
    <row r="930" spans="1:9" s="1" customFormat="1" ht="45.75" customHeight="1">
      <c r="A930" s="40" t="s">
        <v>696</v>
      </c>
      <c r="B930" s="35" t="s">
        <v>203</v>
      </c>
      <c r="C930" s="36" t="s">
        <v>727</v>
      </c>
      <c r="D930" s="36"/>
      <c r="E930" s="37">
        <f>E931</f>
        <v>3175</v>
      </c>
      <c r="F930" s="42"/>
      <c r="G930" s="37">
        <f>G931</f>
        <v>3175</v>
      </c>
      <c r="H930" s="42"/>
      <c r="I930" s="120"/>
    </row>
    <row r="931" spans="1:9" s="1" customFormat="1" ht="28.5" customHeight="1">
      <c r="A931" s="33" t="s">
        <v>328</v>
      </c>
      <c r="B931" s="35" t="s">
        <v>203</v>
      </c>
      <c r="C931" s="36" t="s">
        <v>727</v>
      </c>
      <c r="D931" s="75" t="s">
        <v>327</v>
      </c>
      <c r="E931" s="37">
        <f>E932</f>
        <v>3175</v>
      </c>
      <c r="F931" s="42"/>
      <c r="G931" s="37">
        <f>G932</f>
        <v>3175</v>
      </c>
      <c r="H931" s="42"/>
      <c r="I931" s="120"/>
    </row>
    <row r="932" spans="1:9" s="1" customFormat="1" ht="20.25" customHeight="1">
      <c r="A932" s="39" t="s">
        <v>326</v>
      </c>
      <c r="B932" s="35" t="s">
        <v>203</v>
      </c>
      <c r="C932" s="36" t="s">
        <v>727</v>
      </c>
      <c r="D932" s="34" t="s">
        <v>325</v>
      </c>
      <c r="E932" s="37">
        <v>3175</v>
      </c>
      <c r="F932" s="42"/>
      <c r="G932" s="37">
        <v>3175</v>
      </c>
      <c r="H932" s="42"/>
      <c r="I932" s="120"/>
    </row>
    <row r="933" spans="1:9" s="1" customFormat="1" ht="18" customHeight="1">
      <c r="A933" s="56" t="s">
        <v>205</v>
      </c>
      <c r="B933" s="60" t="s">
        <v>95</v>
      </c>
      <c r="C933" s="60"/>
      <c r="D933" s="60"/>
      <c r="E933" s="11">
        <f aca="true" t="shared" si="58" ref="E933:H934">E934</f>
        <v>14331</v>
      </c>
      <c r="F933" s="11">
        <f t="shared" si="58"/>
        <v>500</v>
      </c>
      <c r="G933" s="11">
        <f t="shared" si="58"/>
        <v>14299.8</v>
      </c>
      <c r="H933" s="11">
        <f t="shared" si="58"/>
        <v>468.8</v>
      </c>
      <c r="I933" s="16">
        <f>G933/E933*100</f>
        <v>99.78229014025538</v>
      </c>
    </row>
    <row r="934" spans="1:9" s="2" customFormat="1" ht="33.75" customHeight="1">
      <c r="A934" s="49" t="s">
        <v>264</v>
      </c>
      <c r="B934" s="44" t="s">
        <v>95</v>
      </c>
      <c r="C934" s="44" t="s">
        <v>358</v>
      </c>
      <c r="D934" s="44"/>
      <c r="E934" s="47">
        <f t="shared" si="58"/>
        <v>14331</v>
      </c>
      <c r="F934" s="47">
        <f t="shared" si="58"/>
        <v>500</v>
      </c>
      <c r="G934" s="47">
        <f t="shared" si="58"/>
        <v>14299.8</v>
      </c>
      <c r="H934" s="47">
        <f t="shared" si="58"/>
        <v>468.8</v>
      </c>
      <c r="I934" s="121"/>
    </row>
    <row r="935" spans="1:9" s="2" customFormat="1" ht="48" customHeight="1">
      <c r="A935" s="65" t="s">
        <v>334</v>
      </c>
      <c r="B935" s="44" t="s">
        <v>95</v>
      </c>
      <c r="C935" s="44" t="s">
        <v>359</v>
      </c>
      <c r="D935" s="44"/>
      <c r="E935" s="47">
        <f>E940+E942+E936</f>
        <v>14331</v>
      </c>
      <c r="F935" s="47">
        <f>F940+F942+F936</f>
        <v>500</v>
      </c>
      <c r="G935" s="47">
        <f>G940+G942+G936</f>
        <v>14299.8</v>
      </c>
      <c r="H935" s="47">
        <f>H940+H942+H936</f>
        <v>468.8</v>
      </c>
      <c r="I935" s="121"/>
    </row>
    <row r="936" spans="1:9" s="2" customFormat="1" ht="45" customHeight="1">
      <c r="A936" s="48" t="s">
        <v>617</v>
      </c>
      <c r="B936" s="35" t="s">
        <v>95</v>
      </c>
      <c r="C936" s="36" t="s">
        <v>701</v>
      </c>
      <c r="D936" s="34"/>
      <c r="E936" s="41">
        <f aca="true" t="shared" si="59" ref="E936:H937">E937</f>
        <v>500</v>
      </c>
      <c r="F936" s="41">
        <f t="shared" si="59"/>
        <v>500</v>
      </c>
      <c r="G936" s="41">
        <f t="shared" si="59"/>
        <v>468.8</v>
      </c>
      <c r="H936" s="41">
        <f t="shared" si="59"/>
        <v>468.8</v>
      </c>
      <c r="I936" s="121"/>
    </row>
    <row r="937" spans="1:9" s="2" customFormat="1" ht="39" customHeight="1">
      <c r="A937" s="57" t="s">
        <v>328</v>
      </c>
      <c r="B937" s="35" t="s">
        <v>95</v>
      </c>
      <c r="C937" s="36" t="s">
        <v>701</v>
      </c>
      <c r="D937" s="34" t="s">
        <v>327</v>
      </c>
      <c r="E937" s="41">
        <f t="shared" si="59"/>
        <v>500</v>
      </c>
      <c r="F937" s="41">
        <f t="shared" si="59"/>
        <v>500</v>
      </c>
      <c r="G937" s="41">
        <f t="shared" si="59"/>
        <v>468.8</v>
      </c>
      <c r="H937" s="41">
        <f t="shared" si="59"/>
        <v>468.8</v>
      </c>
      <c r="I937" s="121"/>
    </row>
    <row r="938" spans="1:9" s="2" customFormat="1" ht="23.25" customHeight="1">
      <c r="A938" s="57" t="s">
        <v>326</v>
      </c>
      <c r="B938" s="35" t="s">
        <v>95</v>
      </c>
      <c r="C938" s="36" t="s">
        <v>701</v>
      </c>
      <c r="D938" s="34" t="s">
        <v>325</v>
      </c>
      <c r="E938" s="41">
        <v>500</v>
      </c>
      <c r="F938" s="41">
        <f>E938</f>
        <v>500</v>
      </c>
      <c r="G938" s="41">
        <v>468.8</v>
      </c>
      <c r="H938" s="41">
        <f>G938</f>
        <v>468.8</v>
      </c>
      <c r="I938" s="121"/>
    </row>
    <row r="939" spans="1:9" s="2" customFormat="1" ht="20.25" customHeight="1">
      <c r="A939" s="49" t="s">
        <v>117</v>
      </c>
      <c r="B939" s="44" t="s">
        <v>95</v>
      </c>
      <c r="C939" s="44" t="s">
        <v>360</v>
      </c>
      <c r="D939" s="44"/>
      <c r="E939" s="47">
        <f>E940</f>
        <v>10183.1</v>
      </c>
      <c r="F939" s="47"/>
      <c r="G939" s="47">
        <f>G940</f>
        <v>10183.1</v>
      </c>
      <c r="H939" s="47"/>
      <c r="I939" s="121"/>
    </row>
    <row r="940" spans="1:9" s="2" customFormat="1" ht="30" customHeight="1">
      <c r="A940" s="33" t="s">
        <v>328</v>
      </c>
      <c r="B940" s="44" t="s">
        <v>95</v>
      </c>
      <c r="C940" s="44" t="s">
        <v>360</v>
      </c>
      <c r="D940" s="44" t="s">
        <v>327</v>
      </c>
      <c r="E940" s="47">
        <f>E941</f>
        <v>10183.1</v>
      </c>
      <c r="F940" s="47"/>
      <c r="G940" s="47">
        <f>G941</f>
        <v>10183.1</v>
      </c>
      <c r="H940" s="47"/>
      <c r="I940" s="121"/>
    </row>
    <row r="941" spans="1:9" s="2" customFormat="1" ht="21" customHeight="1">
      <c r="A941" s="43" t="s">
        <v>326</v>
      </c>
      <c r="B941" s="44" t="s">
        <v>95</v>
      </c>
      <c r="C941" s="44" t="s">
        <v>360</v>
      </c>
      <c r="D941" s="44" t="s">
        <v>325</v>
      </c>
      <c r="E941" s="47">
        <f>9483.1+700</f>
        <v>10183.1</v>
      </c>
      <c r="F941" s="47"/>
      <c r="G941" s="47">
        <v>10183.1</v>
      </c>
      <c r="H941" s="47"/>
      <c r="I941" s="121"/>
    </row>
    <row r="942" spans="1:9" s="2" customFormat="1" ht="30" customHeight="1">
      <c r="A942" s="49" t="s">
        <v>335</v>
      </c>
      <c r="B942" s="44" t="s">
        <v>95</v>
      </c>
      <c r="C942" s="44" t="s">
        <v>361</v>
      </c>
      <c r="D942" s="44"/>
      <c r="E942" s="47">
        <f>E943</f>
        <v>3647.9</v>
      </c>
      <c r="F942" s="47"/>
      <c r="G942" s="47">
        <f>G943</f>
        <v>3647.9</v>
      </c>
      <c r="H942" s="47"/>
      <c r="I942" s="121"/>
    </row>
    <row r="943" spans="1:9" s="2" customFormat="1" ht="30.75" customHeight="1">
      <c r="A943" s="57" t="s">
        <v>328</v>
      </c>
      <c r="B943" s="44" t="s">
        <v>95</v>
      </c>
      <c r="C943" s="44" t="s">
        <v>361</v>
      </c>
      <c r="D943" s="44" t="s">
        <v>327</v>
      </c>
      <c r="E943" s="47">
        <f>E944</f>
        <v>3647.9</v>
      </c>
      <c r="F943" s="47"/>
      <c r="G943" s="47">
        <f>G944</f>
        <v>3647.9</v>
      </c>
      <c r="H943" s="47"/>
      <c r="I943" s="121"/>
    </row>
    <row r="944" spans="1:9" s="2" customFormat="1" ht="22.5" customHeight="1">
      <c r="A944" s="55" t="s">
        <v>326</v>
      </c>
      <c r="B944" s="44" t="s">
        <v>95</v>
      </c>
      <c r="C944" s="44" t="s">
        <v>361</v>
      </c>
      <c r="D944" s="44" t="s">
        <v>325</v>
      </c>
      <c r="E944" s="47">
        <f>1247.9+1000+500+500+283.8+116.2</f>
        <v>3647.9</v>
      </c>
      <c r="F944" s="47"/>
      <c r="G944" s="47">
        <v>3647.9</v>
      </c>
      <c r="H944" s="47"/>
      <c r="I944" s="121"/>
    </row>
    <row r="945" spans="1:9" s="2" customFormat="1" ht="17.25" customHeight="1">
      <c r="A945" s="78" t="s">
        <v>121</v>
      </c>
      <c r="B945" s="79" t="s">
        <v>122</v>
      </c>
      <c r="C945" s="79"/>
      <c r="D945" s="79"/>
      <c r="E945" s="80">
        <f>E964+E994+E946</f>
        <v>117553.6</v>
      </c>
      <c r="F945" s="80">
        <f>F964+F994+F946</f>
        <v>13108</v>
      </c>
      <c r="G945" s="80">
        <f>G964+G994+G946</f>
        <v>116914</v>
      </c>
      <c r="H945" s="80">
        <f>H964+H994+H946</f>
        <v>13107.9</v>
      </c>
      <c r="I945" s="16">
        <f>G945/E945*100</f>
        <v>99.45590777313498</v>
      </c>
    </row>
    <row r="946" spans="1:9" s="2" customFormat="1" ht="47.25" customHeight="1">
      <c r="A946" s="33" t="s">
        <v>3</v>
      </c>
      <c r="B946" s="44" t="s">
        <v>122</v>
      </c>
      <c r="C946" s="44" t="s">
        <v>347</v>
      </c>
      <c r="D946" s="44"/>
      <c r="E946" s="47">
        <f>E952+E947+E959</f>
        <v>34120.4</v>
      </c>
      <c r="F946" s="47">
        <f>F952+F947</f>
        <v>9899</v>
      </c>
      <c r="G946" s="47">
        <f>G952+G947+G959</f>
        <v>34120.4</v>
      </c>
      <c r="H946" s="47">
        <f>H952+H947</f>
        <v>9899</v>
      </c>
      <c r="I946" s="121"/>
    </row>
    <row r="947" spans="1:9" s="2" customFormat="1" ht="34.5" customHeight="1">
      <c r="A947" s="33" t="s">
        <v>431</v>
      </c>
      <c r="B947" s="44" t="s">
        <v>122</v>
      </c>
      <c r="C947" s="44" t="s">
        <v>223</v>
      </c>
      <c r="D947" s="44"/>
      <c r="E947" s="47">
        <f>E948+E950</f>
        <v>9899</v>
      </c>
      <c r="F947" s="47">
        <f>F948+F950</f>
        <v>9899</v>
      </c>
      <c r="G947" s="47">
        <f>G948+G950</f>
        <v>9899</v>
      </c>
      <c r="H947" s="47">
        <f>H948+H950</f>
        <v>9899</v>
      </c>
      <c r="I947" s="121"/>
    </row>
    <row r="948" spans="1:9" s="2" customFormat="1" ht="25.5" customHeight="1">
      <c r="A948" s="43" t="s">
        <v>170</v>
      </c>
      <c r="B948" s="44" t="s">
        <v>122</v>
      </c>
      <c r="C948" s="44" t="s">
        <v>223</v>
      </c>
      <c r="D948" s="44" t="s">
        <v>169</v>
      </c>
      <c r="E948" s="47">
        <f>E949</f>
        <v>7885</v>
      </c>
      <c r="F948" s="47">
        <f>F949</f>
        <v>7885</v>
      </c>
      <c r="G948" s="47">
        <f>G949</f>
        <v>7885</v>
      </c>
      <c r="H948" s="47">
        <f>H949</f>
        <v>7885</v>
      </c>
      <c r="I948" s="121"/>
    </row>
    <row r="949" spans="1:9" s="2" customFormat="1" ht="35.25" customHeight="1">
      <c r="A949" s="43" t="s">
        <v>172</v>
      </c>
      <c r="B949" s="44" t="s">
        <v>122</v>
      </c>
      <c r="C949" s="44" t="s">
        <v>223</v>
      </c>
      <c r="D949" s="44" t="s">
        <v>171</v>
      </c>
      <c r="E949" s="47">
        <f>9899-2014</f>
        <v>7885</v>
      </c>
      <c r="F949" s="47">
        <f>E949</f>
        <v>7885</v>
      </c>
      <c r="G949" s="47">
        <v>7885</v>
      </c>
      <c r="H949" s="47">
        <f>G949</f>
        <v>7885</v>
      </c>
      <c r="I949" s="121"/>
    </row>
    <row r="950" spans="1:9" s="2" customFormat="1" ht="30.75" customHeight="1">
      <c r="A950" s="57" t="s">
        <v>328</v>
      </c>
      <c r="B950" s="44" t="s">
        <v>122</v>
      </c>
      <c r="C950" s="44" t="s">
        <v>223</v>
      </c>
      <c r="D950" s="66" t="s">
        <v>327</v>
      </c>
      <c r="E950" s="47">
        <f>E951</f>
        <v>2014</v>
      </c>
      <c r="F950" s="47">
        <f>F951</f>
        <v>2014</v>
      </c>
      <c r="G950" s="47">
        <f>G951</f>
        <v>2014</v>
      </c>
      <c r="H950" s="47">
        <f>H951</f>
        <v>2014</v>
      </c>
      <c r="I950" s="121"/>
    </row>
    <row r="951" spans="1:9" s="2" customFormat="1" ht="19.5" customHeight="1">
      <c r="A951" s="55" t="s">
        <v>326</v>
      </c>
      <c r="B951" s="44" t="s">
        <v>122</v>
      </c>
      <c r="C951" s="44" t="s">
        <v>223</v>
      </c>
      <c r="D951" s="66" t="s">
        <v>325</v>
      </c>
      <c r="E951" s="47">
        <f>2014</f>
        <v>2014</v>
      </c>
      <c r="F951" s="47">
        <f>2014</f>
        <v>2014</v>
      </c>
      <c r="G951" s="47">
        <v>2014</v>
      </c>
      <c r="H951" s="47">
        <v>2014</v>
      </c>
      <c r="I951" s="121"/>
    </row>
    <row r="952" spans="1:9" s="2" customFormat="1" ht="35.25" customHeight="1">
      <c r="A952" s="55" t="s">
        <v>222</v>
      </c>
      <c r="B952" s="44" t="s">
        <v>122</v>
      </c>
      <c r="C952" s="44" t="s">
        <v>223</v>
      </c>
      <c r="D952" s="44"/>
      <c r="E952" s="47">
        <f>E953+E957+E955</f>
        <v>16000</v>
      </c>
      <c r="F952" s="47"/>
      <c r="G952" s="47">
        <f>G953+G957+G955</f>
        <v>16000</v>
      </c>
      <c r="H952" s="47"/>
      <c r="I952" s="121"/>
    </row>
    <row r="953" spans="1:9" s="2" customFormat="1" ht="23.25" customHeight="1">
      <c r="A953" s="43" t="s">
        <v>170</v>
      </c>
      <c r="B953" s="44" t="s">
        <v>122</v>
      </c>
      <c r="C953" s="44" t="s">
        <v>223</v>
      </c>
      <c r="D953" s="44" t="s">
        <v>169</v>
      </c>
      <c r="E953" s="47">
        <f>E954</f>
        <v>8661.1</v>
      </c>
      <c r="F953" s="81">
        <f>F954</f>
        <v>0</v>
      </c>
      <c r="G953" s="47">
        <f>G954</f>
        <v>8661.1</v>
      </c>
      <c r="H953" s="81">
        <f>H954</f>
        <v>0</v>
      </c>
      <c r="I953" s="121"/>
    </row>
    <row r="954" spans="1:9" s="2" customFormat="1" ht="32.25" customHeight="1">
      <c r="A954" s="43" t="s">
        <v>172</v>
      </c>
      <c r="B954" s="44" t="s">
        <v>122</v>
      </c>
      <c r="C954" s="44" t="s">
        <v>223</v>
      </c>
      <c r="D954" s="44" t="s">
        <v>171</v>
      </c>
      <c r="E954" s="47">
        <f>11000-1313.5-1025.4</f>
        <v>8661.1</v>
      </c>
      <c r="F954" s="80"/>
      <c r="G954" s="47">
        <v>8661.1</v>
      </c>
      <c r="H954" s="80"/>
      <c r="I954" s="121"/>
    </row>
    <row r="955" spans="1:9" s="2" customFormat="1" ht="27" customHeight="1">
      <c r="A955" s="43" t="s">
        <v>42</v>
      </c>
      <c r="B955" s="44" t="s">
        <v>122</v>
      </c>
      <c r="C955" s="44" t="s">
        <v>223</v>
      </c>
      <c r="D955" s="44" t="s">
        <v>336</v>
      </c>
      <c r="E955" s="47">
        <f>E956</f>
        <v>1025.4</v>
      </c>
      <c r="F955" s="80"/>
      <c r="G955" s="47">
        <f>G956</f>
        <v>1025.4</v>
      </c>
      <c r="H955" s="80"/>
      <c r="I955" s="121"/>
    </row>
    <row r="956" spans="1:9" s="2" customFormat="1" ht="32.25" customHeight="1">
      <c r="A956" s="48" t="s">
        <v>54</v>
      </c>
      <c r="B956" s="44" t="s">
        <v>122</v>
      </c>
      <c r="C956" s="44" t="s">
        <v>223</v>
      </c>
      <c r="D956" s="44" t="s">
        <v>53</v>
      </c>
      <c r="E956" s="47">
        <v>1025.4</v>
      </c>
      <c r="F956" s="80"/>
      <c r="G956" s="47">
        <v>1025.4</v>
      </c>
      <c r="H956" s="80"/>
      <c r="I956" s="121"/>
    </row>
    <row r="957" spans="1:9" s="2" customFormat="1" ht="35.25" customHeight="1">
      <c r="A957" s="57" t="s">
        <v>328</v>
      </c>
      <c r="B957" s="44" t="s">
        <v>122</v>
      </c>
      <c r="C957" s="44" t="s">
        <v>223</v>
      </c>
      <c r="D957" s="66" t="s">
        <v>327</v>
      </c>
      <c r="E957" s="47">
        <f>E958</f>
        <v>6313.5</v>
      </c>
      <c r="F957" s="47"/>
      <c r="G957" s="47">
        <f>G958</f>
        <v>6313.5</v>
      </c>
      <c r="H957" s="47"/>
      <c r="I957" s="121"/>
    </row>
    <row r="958" spans="1:9" s="2" customFormat="1" ht="21.75" customHeight="1">
      <c r="A958" s="55" t="s">
        <v>326</v>
      </c>
      <c r="B958" s="44" t="s">
        <v>122</v>
      </c>
      <c r="C958" s="44" t="s">
        <v>223</v>
      </c>
      <c r="D958" s="66" t="s">
        <v>325</v>
      </c>
      <c r="E958" s="47">
        <f>5000+1313.5</f>
        <v>6313.5</v>
      </c>
      <c r="F958" s="47"/>
      <c r="G958" s="47">
        <v>6313.5</v>
      </c>
      <c r="H958" s="47"/>
      <c r="I958" s="121"/>
    </row>
    <row r="959" spans="1:9" s="2" customFormat="1" ht="30" customHeight="1">
      <c r="A959" s="55" t="s">
        <v>507</v>
      </c>
      <c r="B959" s="44" t="s">
        <v>122</v>
      </c>
      <c r="C959" s="44" t="s">
        <v>508</v>
      </c>
      <c r="D959" s="66"/>
      <c r="E959" s="47">
        <f>E960+E962</f>
        <v>8221.400000000001</v>
      </c>
      <c r="F959" s="47"/>
      <c r="G959" s="47">
        <f>G960+G962</f>
        <v>8221.4</v>
      </c>
      <c r="H959" s="47"/>
      <c r="I959" s="121"/>
    </row>
    <row r="960" spans="1:9" s="2" customFormat="1" ht="21.75" customHeight="1">
      <c r="A960" s="43" t="s">
        <v>170</v>
      </c>
      <c r="B960" s="44" t="s">
        <v>122</v>
      </c>
      <c r="C960" s="44" t="s">
        <v>508</v>
      </c>
      <c r="D960" s="44" t="s">
        <v>169</v>
      </c>
      <c r="E960" s="47">
        <f>E961</f>
        <v>7327.400000000001</v>
      </c>
      <c r="F960" s="47"/>
      <c r="G960" s="47">
        <f>G961</f>
        <v>7327.4</v>
      </c>
      <c r="H960" s="47"/>
      <c r="I960" s="121"/>
    </row>
    <row r="961" spans="1:9" s="2" customFormat="1" ht="30" customHeight="1">
      <c r="A961" s="43" t="s">
        <v>172</v>
      </c>
      <c r="B961" s="44" t="s">
        <v>122</v>
      </c>
      <c r="C961" s="44" t="s">
        <v>508</v>
      </c>
      <c r="D961" s="44" t="s">
        <v>171</v>
      </c>
      <c r="E961" s="47">
        <f>5400+2900-1174.2+201.6</f>
        <v>7327.400000000001</v>
      </c>
      <c r="F961" s="47"/>
      <c r="G961" s="47">
        <v>7327.4</v>
      </c>
      <c r="H961" s="47"/>
      <c r="I961" s="121"/>
    </row>
    <row r="962" spans="1:9" s="2" customFormat="1" ht="23.25" customHeight="1">
      <c r="A962" s="43" t="s">
        <v>42</v>
      </c>
      <c r="B962" s="44" t="s">
        <v>122</v>
      </c>
      <c r="C962" s="44" t="s">
        <v>508</v>
      </c>
      <c r="D962" s="44" t="s">
        <v>336</v>
      </c>
      <c r="E962" s="47">
        <f>E963</f>
        <v>894</v>
      </c>
      <c r="F962" s="47"/>
      <c r="G962" s="47">
        <f>G963</f>
        <v>894</v>
      </c>
      <c r="H962" s="47"/>
      <c r="I962" s="121"/>
    </row>
    <row r="963" spans="1:9" s="2" customFormat="1" ht="30" customHeight="1">
      <c r="A963" s="48" t="s">
        <v>54</v>
      </c>
      <c r="B963" s="44" t="s">
        <v>122</v>
      </c>
      <c r="C963" s="44" t="s">
        <v>508</v>
      </c>
      <c r="D963" s="44" t="s">
        <v>53</v>
      </c>
      <c r="E963" s="47">
        <f>1174.2-280.2</f>
        <v>894</v>
      </c>
      <c r="F963" s="47"/>
      <c r="G963" s="47">
        <v>894</v>
      </c>
      <c r="H963" s="47"/>
      <c r="I963" s="121"/>
    </row>
    <row r="964" spans="1:9" s="2" customFormat="1" ht="21" customHeight="1">
      <c r="A964" s="33" t="s">
        <v>4</v>
      </c>
      <c r="B964" s="44" t="s">
        <v>122</v>
      </c>
      <c r="C964" s="44" t="s">
        <v>362</v>
      </c>
      <c r="D964" s="44"/>
      <c r="E964" s="81">
        <f>E965+E977+E988+E991</f>
        <v>82463.2</v>
      </c>
      <c r="F964" s="81">
        <f>F965+F977+F988+F991</f>
        <v>3209</v>
      </c>
      <c r="G964" s="81">
        <f>G965+G977+G988+G991</f>
        <v>81823.59999999999</v>
      </c>
      <c r="H964" s="81">
        <f>H965+H977+H988+H991</f>
        <v>3208.9</v>
      </c>
      <c r="I964" s="121"/>
    </row>
    <row r="965" spans="1:9" s="2" customFormat="1" ht="17.25" customHeight="1">
      <c r="A965" s="33" t="s">
        <v>116</v>
      </c>
      <c r="B965" s="44" t="s">
        <v>122</v>
      </c>
      <c r="C965" s="44" t="s">
        <v>363</v>
      </c>
      <c r="D965" s="44"/>
      <c r="E965" s="47">
        <f>E966+E969+E972</f>
        <v>28463.899999999998</v>
      </c>
      <c r="F965" s="47"/>
      <c r="G965" s="47">
        <f>G966+G969+G972</f>
        <v>27960.8</v>
      </c>
      <c r="H965" s="47"/>
      <c r="I965" s="121"/>
    </row>
    <row r="966" spans="1:9" s="2" customFormat="1" ht="19.5" customHeight="1">
      <c r="A966" s="55" t="s">
        <v>154</v>
      </c>
      <c r="B966" s="44" t="s">
        <v>122</v>
      </c>
      <c r="C966" s="44" t="s">
        <v>364</v>
      </c>
      <c r="D966" s="44"/>
      <c r="E966" s="47">
        <f>E967</f>
        <v>9401.8</v>
      </c>
      <c r="F966" s="47"/>
      <c r="G966" s="47">
        <f>G967</f>
        <v>9290.3</v>
      </c>
      <c r="H966" s="47"/>
      <c r="I966" s="121"/>
    </row>
    <row r="967" spans="1:9" s="2" customFormat="1" ht="60.75" customHeight="1">
      <c r="A967" s="43" t="s">
        <v>320</v>
      </c>
      <c r="B967" s="44" t="s">
        <v>122</v>
      </c>
      <c r="C967" s="44" t="s">
        <v>364</v>
      </c>
      <c r="D967" s="44" t="s">
        <v>175</v>
      </c>
      <c r="E967" s="47">
        <f>E968</f>
        <v>9401.8</v>
      </c>
      <c r="F967" s="47"/>
      <c r="G967" s="47">
        <f>G968</f>
        <v>9290.3</v>
      </c>
      <c r="H967" s="47"/>
      <c r="I967" s="121"/>
    </row>
    <row r="968" spans="1:9" s="2" customFormat="1" ht="23.25" customHeight="1">
      <c r="A968" s="55" t="s">
        <v>168</v>
      </c>
      <c r="B968" s="44" t="s">
        <v>122</v>
      </c>
      <c r="C968" s="44" t="s">
        <v>364</v>
      </c>
      <c r="D968" s="44" t="s">
        <v>167</v>
      </c>
      <c r="E968" s="47">
        <f>7689.3+1127.5+685-100</f>
        <v>9401.8</v>
      </c>
      <c r="F968" s="47"/>
      <c r="G968" s="47">
        <v>9290.3</v>
      </c>
      <c r="H968" s="47"/>
      <c r="I968" s="121"/>
    </row>
    <row r="969" spans="1:9" s="2" customFormat="1" ht="17.25" customHeight="1">
      <c r="A969" s="55" t="s">
        <v>155</v>
      </c>
      <c r="B969" s="44" t="s">
        <v>122</v>
      </c>
      <c r="C969" s="44" t="s">
        <v>365</v>
      </c>
      <c r="D969" s="44"/>
      <c r="E969" s="47">
        <f>E970</f>
        <v>15157.099999999999</v>
      </c>
      <c r="F969" s="47"/>
      <c r="G969" s="47">
        <f>G970</f>
        <v>14960.7</v>
      </c>
      <c r="H969" s="47"/>
      <c r="I969" s="121"/>
    </row>
    <row r="970" spans="1:9" s="2" customFormat="1" ht="69" customHeight="1">
      <c r="A970" s="43" t="s">
        <v>320</v>
      </c>
      <c r="B970" s="44" t="s">
        <v>122</v>
      </c>
      <c r="C970" s="44" t="s">
        <v>365</v>
      </c>
      <c r="D970" s="44" t="s">
        <v>175</v>
      </c>
      <c r="E970" s="47">
        <f>E971</f>
        <v>15157.099999999999</v>
      </c>
      <c r="F970" s="47"/>
      <c r="G970" s="47">
        <f>G971</f>
        <v>14960.7</v>
      </c>
      <c r="H970" s="47"/>
      <c r="I970" s="121"/>
    </row>
    <row r="971" spans="1:9" s="2" customFormat="1" ht="23.25" customHeight="1">
      <c r="A971" s="43" t="s">
        <v>168</v>
      </c>
      <c r="B971" s="44" t="s">
        <v>122</v>
      </c>
      <c r="C971" s="44" t="s">
        <v>365</v>
      </c>
      <c r="D971" s="44" t="s">
        <v>167</v>
      </c>
      <c r="E971" s="47">
        <f>12310.9+1305.3+879.6+341.3+250+70</f>
        <v>15157.099999999999</v>
      </c>
      <c r="F971" s="47"/>
      <c r="G971" s="47">
        <v>14960.7</v>
      </c>
      <c r="H971" s="47"/>
      <c r="I971" s="121"/>
    </row>
    <row r="972" spans="1:9" s="2" customFormat="1" ht="30">
      <c r="A972" s="43" t="s">
        <v>68</v>
      </c>
      <c r="B972" s="44" t="s">
        <v>122</v>
      </c>
      <c r="C972" s="44" t="s">
        <v>366</v>
      </c>
      <c r="D972" s="44"/>
      <c r="E972" s="47">
        <f>E973+E975</f>
        <v>3905</v>
      </c>
      <c r="F972" s="47"/>
      <c r="G972" s="47">
        <f>G973+G975</f>
        <v>3709.8</v>
      </c>
      <c r="H972" s="47"/>
      <c r="I972" s="121"/>
    </row>
    <row r="973" spans="1:9" s="2" customFormat="1" ht="22.5" customHeight="1">
      <c r="A973" s="43" t="s">
        <v>170</v>
      </c>
      <c r="B973" s="44" t="s">
        <v>122</v>
      </c>
      <c r="C973" s="44" t="s">
        <v>366</v>
      </c>
      <c r="D973" s="44" t="s">
        <v>169</v>
      </c>
      <c r="E973" s="47">
        <f>E974</f>
        <v>2055</v>
      </c>
      <c r="F973" s="47"/>
      <c r="G973" s="47">
        <f>G974</f>
        <v>1859.9</v>
      </c>
      <c r="H973" s="47"/>
      <c r="I973" s="121"/>
    </row>
    <row r="974" spans="1:9" s="2" customFormat="1" ht="33" customHeight="1">
      <c r="A974" s="43" t="s">
        <v>172</v>
      </c>
      <c r="B974" s="44" t="s">
        <v>122</v>
      </c>
      <c r="C974" s="44" t="s">
        <v>366</v>
      </c>
      <c r="D974" s="44" t="s">
        <v>171</v>
      </c>
      <c r="E974" s="47">
        <f>3025-970</f>
        <v>2055</v>
      </c>
      <c r="F974" s="47"/>
      <c r="G974" s="47">
        <v>1859.9</v>
      </c>
      <c r="H974" s="47"/>
      <c r="I974" s="121"/>
    </row>
    <row r="975" spans="1:9" s="2" customFormat="1" ht="21.75" customHeight="1">
      <c r="A975" s="43" t="s">
        <v>174</v>
      </c>
      <c r="B975" s="44" t="s">
        <v>122</v>
      </c>
      <c r="C975" s="44" t="s">
        <v>366</v>
      </c>
      <c r="D975" s="44" t="s">
        <v>173</v>
      </c>
      <c r="E975" s="47">
        <f>E976</f>
        <v>1850</v>
      </c>
      <c r="F975" s="47"/>
      <c r="G975" s="47">
        <f>G976</f>
        <v>1849.9</v>
      </c>
      <c r="H975" s="47"/>
      <c r="I975" s="121"/>
    </row>
    <row r="976" spans="1:9" s="2" customFormat="1" ht="21.75" customHeight="1">
      <c r="A976" s="55" t="s">
        <v>324</v>
      </c>
      <c r="B976" s="44" t="s">
        <v>122</v>
      </c>
      <c r="C976" s="44" t="s">
        <v>366</v>
      </c>
      <c r="D976" s="44" t="s">
        <v>323</v>
      </c>
      <c r="E976" s="109">
        <f>1850</f>
        <v>1850</v>
      </c>
      <c r="F976" s="47"/>
      <c r="G976" s="109">
        <v>1849.9</v>
      </c>
      <c r="H976" s="47"/>
      <c r="I976" s="121"/>
    </row>
    <row r="977" spans="1:9" s="1" customFormat="1" ht="24.75" customHeight="1">
      <c r="A977" s="38" t="s">
        <v>117</v>
      </c>
      <c r="B977" s="36" t="s">
        <v>122</v>
      </c>
      <c r="C977" s="36" t="s">
        <v>135</v>
      </c>
      <c r="D977" s="36"/>
      <c r="E977" s="37">
        <f>E981+E978</f>
        <v>35074.600000000006</v>
      </c>
      <c r="F977" s="37">
        <f>F981+F978</f>
        <v>3209</v>
      </c>
      <c r="G977" s="37">
        <f>G981+G978</f>
        <v>34938.1</v>
      </c>
      <c r="H977" s="37">
        <f>H981+H978</f>
        <v>3208.9</v>
      </c>
      <c r="I977" s="120"/>
    </row>
    <row r="978" spans="1:9" s="1" customFormat="1" ht="78" customHeight="1">
      <c r="A978" s="38" t="s">
        <v>16</v>
      </c>
      <c r="B978" s="36" t="s">
        <v>122</v>
      </c>
      <c r="C978" s="36" t="s">
        <v>425</v>
      </c>
      <c r="D978" s="36"/>
      <c r="E978" s="54">
        <f aca="true" t="shared" si="60" ref="E978:H979">E979</f>
        <v>3209</v>
      </c>
      <c r="F978" s="54">
        <f t="shared" si="60"/>
        <v>3209</v>
      </c>
      <c r="G978" s="54">
        <f t="shared" si="60"/>
        <v>3208.9</v>
      </c>
      <c r="H978" s="54">
        <f t="shared" si="60"/>
        <v>3208.9</v>
      </c>
      <c r="I978" s="120"/>
    </row>
    <row r="979" spans="1:9" s="1" customFormat="1" ht="66" customHeight="1">
      <c r="A979" s="40" t="s">
        <v>320</v>
      </c>
      <c r="B979" s="36" t="s">
        <v>122</v>
      </c>
      <c r="C979" s="36" t="s">
        <v>425</v>
      </c>
      <c r="D979" s="36" t="s">
        <v>175</v>
      </c>
      <c r="E979" s="54">
        <f t="shared" si="60"/>
        <v>3209</v>
      </c>
      <c r="F979" s="54">
        <f t="shared" si="60"/>
        <v>3209</v>
      </c>
      <c r="G979" s="54">
        <f t="shared" si="60"/>
        <v>3208.9</v>
      </c>
      <c r="H979" s="54">
        <f t="shared" si="60"/>
        <v>3208.9</v>
      </c>
      <c r="I979" s="120"/>
    </row>
    <row r="980" spans="1:9" s="1" customFormat="1" ht="20.25" customHeight="1">
      <c r="A980" s="43" t="s">
        <v>322</v>
      </c>
      <c r="B980" s="36" t="s">
        <v>122</v>
      </c>
      <c r="C980" s="36" t="s">
        <v>425</v>
      </c>
      <c r="D980" s="36" t="s">
        <v>321</v>
      </c>
      <c r="E980" s="37">
        <v>3209</v>
      </c>
      <c r="F980" s="37">
        <f>E980</f>
        <v>3209</v>
      </c>
      <c r="G980" s="37">
        <v>3208.9</v>
      </c>
      <c r="H980" s="37">
        <f>G980</f>
        <v>3208.9</v>
      </c>
      <c r="I980" s="120"/>
    </row>
    <row r="981" spans="1:9" s="1" customFormat="1" ht="80.25" customHeight="1">
      <c r="A981" s="48" t="s">
        <v>66</v>
      </c>
      <c r="B981" s="36" t="s">
        <v>122</v>
      </c>
      <c r="C981" s="36" t="s">
        <v>367</v>
      </c>
      <c r="D981" s="36"/>
      <c r="E981" s="37">
        <f>E982+E984+E986</f>
        <v>31865.600000000002</v>
      </c>
      <c r="F981" s="37">
        <f>F982+F984</f>
        <v>0</v>
      </c>
      <c r="G981" s="37">
        <f>G982+G984+G986</f>
        <v>31729.2</v>
      </c>
      <c r="H981" s="37">
        <f>H982+H984</f>
        <v>0</v>
      </c>
      <c r="I981" s="120"/>
    </row>
    <row r="982" spans="1:9" s="1" customFormat="1" ht="68.25" customHeight="1">
      <c r="A982" s="39" t="s">
        <v>320</v>
      </c>
      <c r="B982" s="36" t="s">
        <v>122</v>
      </c>
      <c r="C982" s="36" t="s">
        <v>367</v>
      </c>
      <c r="D982" s="44" t="s">
        <v>175</v>
      </c>
      <c r="E982" s="37">
        <f>E983</f>
        <v>27468.5</v>
      </c>
      <c r="F982" s="37"/>
      <c r="G982" s="37">
        <f>G983</f>
        <v>27468.5</v>
      </c>
      <c r="H982" s="37"/>
      <c r="I982" s="120"/>
    </row>
    <row r="983" spans="1:9" s="1" customFormat="1" ht="24.75" customHeight="1">
      <c r="A983" s="55" t="s">
        <v>322</v>
      </c>
      <c r="B983" s="36" t="s">
        <v>122</v>
      </c>
      <c r="C983" s="36" t="s">
        <v>367</v>
      </c>
      <c r="D983" s="44" t="s">
        <v>321</v>
      </c>
      <c r="E983" s="37">
        <f>26599.5+869</f>
        <v>27468.5</v>
      </c>
      <c r="F983" s="37"/>
      <c r="G983" s="37">
        <v>27468.5</v>
      </c>
      <c r="H983" s="37"/>
      <c r="I983" s="120"/>
    </row>
    <row r="984" spans="1:9" s="1" customFormat="1" ht="17.25" customHeight="1">
      <c r="A984" s="43" t="s">
        <v>170</v>
      </c>
      <c r="B984" s="8" t="s">
        <v>122</v>
      </c>
      <c r="C984" s="36" t="s">
        <v>367</v>
      </c>
      <c r="D984" s="45" t="s">
        <v>169</v>
      </c>
      <c r="E984" s="54">
        <f>E985</f>
        <v>4396.200000000001</v>
      </c>
      <c r="F984" s="54"/>
      <c r="G984" s="54">
        <f>G985</f>
        <v>4260.4</v>
      </c>
      <c r="H984" s="54"/>
      <c r="I984" s="120"/>
    </row>
    <row r="985" spans="1:9" s="1" customFormat="1" ht="31.5" customHeight="1">
      <c r="A985" s="43" t="s">
        <v>172</v>
      </c>
      <c r="B985" s="36" t="s">
        <v>122</v>
      </c>
      <c r="C985" s="36" t="s">
        <v>367</v>
      </c>
      <c r="D985" s="44" t="s">
        <v>171</v>
      </c>
      <c r="E985" s="37">
        <f>5236.1-839.9</f>
        <v>4396.200000000001</v>
      </c>
      <c r="F985" s="37"/>
      <c r="G985" s="37">
        <v>4260.4</v>
      </c>
      <c r="H985" s="37"/>
      <c r="I985" s="120"/>
    </row>
    <row r="986" spans="1:9" s="1" customFormat="1" ht="18" customHeight="1">
      <c r="A986" s="43" t="s">
        <v>174</v>
      </c>
      <c r="B986" s="36" t="s">
        <v>122</v>
      </c>
      <c r="C986" s="36" t="s">
        <v>367</v>
      </c>
      <c r="D986" s="44" t="s">
        <v>173</v>
      </c>
      <c r="E986" s="37">
        <f>E987</f>
        <v>0.8999999999999986</v>
      </c>
      <c r="F986" s="37"/>
      <c r="G986" s="37">
        <f>G987</f>
        <v>0.3</v>
      </c>
      <c r="H986" s="37"/>
      <c r="I986" s="120"/>
    </row>
    <row r="987" spans="1:9" s="1" customFormat="1" ht="18" customHeight="1">
      <c r="A987" s="55" t="s">
        <v>324</v>
      </c>
      <c r="B987" s="36" t="s">
        <v>122</v>
      </c>
      <c r="C987" s="36" t="s">
        <v>367</v>
      </c>
      <c r="D987" s="44" t="s">
        <v>323</v>
      </c>
      <c r="E987" s="37">
        <f>30-29.1</f>
        <v>0.8999999999999986</v>
      </c>
      <c r="F987" s="37"/>
      <c r="G987" s="37">
        <v>0.3</v>
      </c>
      <c r="H987" s="37"/>
      <c r="I987" s="120"/>
    </row>
    <row r="988" spans="1:9" s="1" customFormat="1" ht="30.75" customHeight="1">
      <c r="A988" s="39" t="s">
        <v>390</v>
      </c>
      <c r="B988" s="36" t="s">
        <v>122</v>
      </c>
      <c r="C988" s="36" t="s">
        <v>368</v>
      </c>
      <c r="D988" s="36"/>
      <c r="E988" s="37">
        <f>E989</f>
        <v>17944.7</v>
      </c>
      <c r="F988" s="37"/>
      <c r="G988" s="37">
        <f>G989</f>
        <v>17944.7</v>
      </c>
      <c r="H988" s="37"/>
      <c r="I988" s="120"/>
    </row>
    <row r="989" spans="1:9" s="1" customFormat="1" ht="36" customHeight="1">
      <c r="A989" s="33" t="s">
        <v>328</v>
      </c>
      <c r="B989" s="8" t="s">
        <v>122</v>
      </c>
      <c r="C989" s="36" t="s">
        <v>368</v>
      </c>
      <c r="D989" s="36" t="s">
        <v>327</v>
      </c>
      <c r="E989" s="54">
        <f>E990</f>
        <v>17944.7</v>
      </c>
      <c r="F989" s="54"/>
      <c r="G989" s="54">
        <f>G990</f>
        <v>17944.7</v>
      </c>
      <c r="H989" s="54"/>
      <c r="I989" s="120"/>
    </row>
    <row r="990" spans="1:9" s="1" customFormat="1" ht="26.25" customHeight="1">
      <c r="A990" s="39" t="s">
        <v>326</v>
      </c>
      <c r="B990" s="36" t="s">
        <v>122</v>
      </c>
      <c r="C990" s="36" t="s">
        <v>368</v>
      </c>
      <c r="D990" s="36" t="s">
        <v>325</v>
      </c>
      <c r="E990" s="37">
        <f>16925+870+149.7</f>
        <v>17944.7</v>
      </c>
      <c r="F990" s="37"/>
      <c r="G990" s="37">
        <v>17944.7</v>
      </c>
      <c r="H990" s="37"/>
      <c r="I990" s="120"/>
    </row>
    <row r="991" spans="1:9" s="1" customFormat="1" ht="21.75" customHeight="1">
      <c r="A991" s="39" t="s">
        <v>387</v>
      </c>
      <c r="B991" s="36" t="s">
        <v>122</v>
      </c>
      <c r="C991" s="36" t="s">
        <v>369</v>
      </c>
      <c r="D991" s="36"/>
      <c r="E991" s="37">
        <f>E992</f>
        <v>980</v>
      </c>
      <c r="F991" s="37"/>
      <c r="G991" s="37">
        <f>G992</f>
        <v>980</v>
      </c>
      <c r="H991" s="37"/>
      <c r="I991" s="120"/>
    </row>
    <row r="992" spans="1:9" s="1" customFormat="1" ht="28.5" customHeight="1">
      <c r="A992" s="33" t="s">
        <v>328</v>
      </c>
      <c r="B992" s="8" t="s">
        <v>122</v>
      </c>
      <c r="C992" s="36" t="s">
        <v>369</v>
      </c>
      <c r="D992" s="36" t="s">
        <v>327</v>
      </c>
      <c r="E992" s="54">
        <f>E993</f>
        <v>980</v>
      </c>
      <c r="F992" s="54"/>
      <c r="G992" s="54">
        <f>G993</f>
        <v>980</v>
      </c>
      <c r="H992" s="54"/>
      <c r="I992" s="120"/>
    </row>
    <row r="993" spans="1:9" s="1" customFormat="1" ht="22.5" customHeight="1">
      <c r="A993" s="40" t="s">
        <v>326</v>
      </c>
      <c r="B993" s="8" t="s">
        <v>122</v>
      </c>
      <c r="C993" s="36" t="s">
        <v>369</v>
      </c>
      <c r="D993" s="36" t="s">
        <v>325</v>
      </c>
      <c r="E993" s="54">
        <f>3750-400-2370</f>
        <v>980</v>
      </c>
      <c r="F993" s="54"/>
      <c r="G993" s="54">
        <v>980</v>
      </c>
      <c r="H993" s="54"/>
      <c r="I993" s="120"/>
    </row>
    <row r="994" spans="1:9" s="1" customFormat="1" ht="75.75" customHeight="1">
      <c r="A994" s="33" t="s">
        <v>257</v>
      </c>
      <c r="B994" s="44" t="s">
        <v>122</v>
      </c>
      <c r="C994" s="34" t="s">
        <v>234</v>
      </c>
      <c r="D994" s="60"/>
      <c r="E994" s="37">
        <f>E995</f>
        <v>970</v>
      </c>
      <c r="F994" s="11"/>
      <c r="G994" s="37">
        <f>G995</f>
        <v>970</v>
      </c>
      <c r="H994" s="11"/>
      <c r="I994" s="120"/>
    </row>
    <row r="995" spans="1:9" s="1" customFormat="1" ht="35.25" customHeight="1">
      <c r="A995" s="43" t="s">
        <v>233</v>
      </c>
      <c r="B995" s="44" t="s">
        <v>122</v>
      </c>
      <c r="C995" s="34" t="s">
        <v>232</v>
      </c>
      <c r="D995" s="60"/>
      <c r="E995" s="37">
        <f>E996</f>
        <v>970</v>
      </c>
      <c r="F995" s="11"/>
      <c r="G995" s="37">
        <f>G996</f>
        <v>970</v>
      </c>
      <c r="H995" s="11"/>
      <c r="I995" s="120"/>
    </row>
    <row r="996" spans="1:9" s="1" customFormat="1" ht="22.5" customHeight="1">
      <c r="A996" s="43" t="s">
        <v>170</v>
      </c>
      <c r="B996" s="44" t="s">
        <v>122</v>
      </c>
      <c r="C996" s="34" t="s">
        <v>232</v>
      </c>
      <c r="D996" s="36" t="s">
        <v>169</v>
      </c>
      <c r="E996" s="37">
        <f>E997</f>
        <v>970</v>
      </c>
      <c r="F996" s="11"/>
      <c r="G996" s="37">
        <f>G997</f>
        <v>970</v>
      </c>
      <c r="H996" s="11"/>
      <c r="I996" s="120"/>
    </row>
    <row r="997" spans="1:9" s="1" customFormat="1" ht="30.75" customHeight="1">
      <c r="A997" s="43" t="s">
        <v>172</v>
      </c>
      <c r="B997" s="44" t="s">
        <v>122</v>
      </c>
      <c r="C997" s="34" t="s">
        <v>232</v>
      </c>
      <c r="D997" s="36" t="s">
        <v>171</v>
      </c>
      <c r="E997" s="37">
        <f>970</f>
        <v>970</v>
      </c>
      <c r="F997" s="11"/>
      <c r="G997" s="37">
        <v>970</v>
      </c>
      <c r="H997" s="11"/>
      <c r="I997" s="120"/>
    </row>
    <row r="998" spans="1:9" s="1" customFormat="1" ht="17.25" customHeight="1">
      <c r="A998" s="20" t="s">
        <v>78</v>
      </c>
      <c r="B998" s="17" t="s">
        <v>124</v>
      </c>
      <c r="C998" s="17"/>
      <c r="D998" s="17"/>
      <c r="E998" s="18">
        <f>E1026+E999</f>
        <v>160007.69999999998</v>
      </c>
      <c r="F998" s="18">
        <f>F1026+F999</f>
        <v>0</v>
      </c>
      <c r="G998" s="18">
        <f>G1026+G999</f>
        <v>159291.5</v>
      </c>
      <c r="H998" s="18">
        <f>H1026+H999</f>
        <v>0</v>
      </c>
      <c r="I998" s="16">
        <f>G998/E998*100</f>
        <v>99.55239654091648</v>
      </c>
    </row>
    <row r="999" spans="1:9" s="1" customFormat="1" ht="18" customHeight="1">
      <c r="A999" s="56" t="s">
        <v>125</v>
      </c>
      <c r="B999" s="60" t="s">
        <v>126</v>
      </c>
      <c r="C999" s="79"/>
      <c r="D999" s="60"/>
      <c r="E999" s="11">
        <f>E1000</f>
        <v>148468.19999999998</v>
      </c>
      <c r="F999" s="11">
        <f>F1000</f>
        <v>0</v>
      </c>
      <c r="G999" s="11">
        <f>G1000</f>
        <v>147755.2</v>
      </c>
      <c r="H999" s="11">
        <f>H1000</f>
        <v>0</v>
      </c>
      <c r="I999" s="16">
        <f>G999/E999*100</f>
        <v>99.51976248112392</v>
      </c>
    </row>
    <row r="1000" spans="1:9" s="1" customFormat="1" ht="32.25" customHeight="1">
      <c r="A1000" s="33" t="s">
        <v>265</v>
      </c>
      <c r="B1000" s="8" t="s">
        <v>126</v>
      </c>
      <c r="C1000" s="8" t="s">
        <v>351</v>
      </c>
      <c r="D1000" s="35"/>
      <c r="E1000" s="54">
        <f>E1001+E1014</f>
        <v>148468.19999999998</v>
      </c>
      <c r="F1000" s="54">
        <f>F1001+F1014</f>
        <v>0</v>
      </c>
      <c r="G1000" s="54">
        <f>G1001+G1014</f>
        <v>147755.2</v>
      </c>
      <c r="H1000" s="54">
        <f>H1001+H1014</f>
        <v>0</v>
      </c>
      <c r="I1000" s="120"/>
    </row>
    <row r="1001" spans="1:9" s="1" customFormat="1" ht="23.25" customHeight="1">
      <c r="A1001" s="33" t="s">
        <v>162</v>
      </c>
      <c r="B1001" s="8" t="s">
        <v>126</v>
      </c>
      <c r="C1001" s="8" t="s">
        <v>370</v>
      </c>
      <c r="D1001" s="35"/>
      <c r="E1001" s="54">
        <f>E1002+E1005+E1008+E1011</f>
        <v>48000.5</v>
      </c>
      <c r="F1001" s="54">
        <f>F1002+F1005+F1008</f>
        <v>0</v>
      </c>
      <c r="G1001" s="54">
        <f>G1002+G1005+G1008+G1011</f>
        <v>48000.5</v>
      </c>
      <c r="H1001" s="54">
        <f>H1002+H1005+H1008</f>
        <v>0</v>
      </c>
      <c r="I1001" s="120"/>
    </row>
    <row r="1002" spans="1:9" s="1" customFormat="1" ht="19.5" customHeight="1">
      <c r="A1002" s="48" t="s">
        <v>395</v>
      </c>
      <c r="B1002" s="34" t="s">
        <v>126</v>
      </c>
      <c r="C1002" s="36" t="s">
        <v>371</v>
      </c>
      <c r="D1002" s="34"/>
      <c r="E1002" s="37">
        <f>E1003</f>
        <v>37044.6</v>
      </c>
      <c r="F1002" s="37"/>
      <c r="G1002" s="37">
        <f>G1003</f>
        <v>37044.6</v>
      </c>
      <c r="H1002" s="37"/>
      <c r="I1002" s="120"/>
    </row>
    <row r="1003" spans="1:9" s="1" customFormat="1" ht="33.75" customHeight="1">
      <c r="A1003" s="33" t="s">
        <v>328</v>
      </c>
      <c r="B1003" s="8" t="s">
        <v>126</v>
      </c>
      <c r="C1003" s="36" t="s">
        <v>371</v>
      </c>
      <c r="D1003" s="35" t="s">
        <v>327</v>
      </c>
      <c r="E1003" s="54">
        <f>E1004</f>
        <v>37044.6</v>
      </c>
      <c r="F1003" s="54"/>
      <c r="G1003" s="54">
        <f>G1004</f>
        <v>37044.6</v>
      </c>
      <c r="H1003" s="54"/>
      <c r="I1003" s="120"/>
    </row>
    <row r="1004" spans="1:9" s="1" customFormat="1" ht="27" customHeight="1">
      <c r="A1004" s="40" t="s">
        <v>326</v>
      </c>
      <c r="B1004" s="8" t="s">
        <v>126</v>
      </c>
      <c r="C1004" s="36" t="s">
        <v>371</v>
      </c>
      <c r="D1004" s="35" t="s">
        <v>325</v>
      </c>
      <c r="E1004" s="54">
        <f>34427.1+2555+62.5</f>
        <v>37044.6</v>
      </c>
      <c r="F1004" s="54"/>
      <c r="G1004" s="54">
        <v>37044.6</v>
      </c>
      <c r="H1004" s="54"/>
      <c r="I1004" s="120"/>
    </row>
    <row r="1005" spans="1:9" s="1" customFormat="1" ht="34.5" customHeight="1">
      <c r="A1005" s="39" t="s">
        <v>165</v>
      </c>
      <c r="B1005" s="36" t="s">
        <v>126</v>
      </c>
      <c r="C1005" s="36" t="s">
        <v>498</v>
      </c>
      <c r="D1005" s="34"/>
      <c r="E1005" s="37">
        <f>E1006</f>
        <v>1000</v>
      </c>
      <c r="F1005" s="37"/>
      <c r="G1005" s="37">
        <f>G1006</f>
        <v>1000</v>
      </c>
      <c r="H1005" s="37"/>
      <c r="I1005" s="120"/>
    </row>
    <row r="1006" spans="1:9" s="1" customFormat="1" ht="36" customHeight="1">
      <c r="A1006" s="33" t="s">
        <v>328</v>
      </c>
      <c r="B1006" s="8" t="s">
        <v>126</v>
      </c>
      <c r="C1006" s="36" t="s">
        <v>498</v>
      </c>
      <c r="D1006" s="35" t="s">
        <v>327</v>
      </c>
      <c r="E1006" s="54">
        <f>E1007</f>
        <v>1000</v>
      </c>
      <c r="F1006" s="54"/>
      <c r="G1006" s="54">
        <f>G1007</f>
        <v>1000</v>
      </c>
      <c r="H1006" s="54"/>
      <c r="I1006" s="120"/>
    </row>
    <row r="1007" spans="1:9" s="1" customFormat="1" ht="19.5" customHeight="1">
      <c r="A1007" s="40" t="s">
        <v>326</v>
      </c>
      <c r="B1007" s="8" t="s">
        <v>126</v>
      </c>
      <c r="C1007" s="36" t="s">
        <v>498</v>
      </c>
      <c r="D1007" s="35" t="s">
        <v>325</v>
      </c>
      <c r="E1007" s="54">
        <f>1000</f>
        <v>1000</v>
      </c>
      <c r="F1007" s="54"/>
      <c r="G1007" s="54">
        <v>1000</v>
      </c>
      <c r="H1007" s="54"/>
      <c r="I1007" s="120"/>
    </row>
    <row r="1008" spans="1:9" s="1" customFormat="1" ht="34.5" customHeight="1">
      <c r="A1008" s="43" t="s">
        <v>195</v>
      </c>
      <c r="B1008" s="45" t="s">
        <v>126</v>
      </c>
      <c r="C1008" s="36" t="s">
        <v>228</v>
      </c>
      <c r="D1008" s="67"/>
      <c r="E1008" s="50">
        <f>E1009</f>
        <v>9446.5</v>
      </c>
      <c r="F1008" s="50"/>
      <c r="G1008" s="50">
        <f>G1009</f>
        <v>9446.5</v>
      </c>
      <c r="H1008" s="50"/>
      <c r="I1008" s="120"/>
    </row>
    <row r="1009" spans="1:9" s="1" customFormat="1" ht="30.75" customHeight="1">
      <c r="A1009" s="57" t="s">
        <v>328</v>
      </c>
      <c r="B1009" s="45" t="s">
        <v>126</v>
      </c>
      <c r="C1009" s="36" t="s">
        <v>228</v>
      </c>
      <c r="D1009" s="67" t="s">
        <v>327</v>
      </c>
      <c r="E1009" s="50">
        <f>E1010</f>
        <v>9446.5</v>
      </c>
      <c r="F1009" s="50"/>
      <c r="G1009" s="50">
        <f>G1010</f>
        <v>9446.5</v>
      </c>
      <c r="H1009" s="50"/>
      <c r="I1009" s="120"/>
    </row>
    <row r="1010" spans="1:9" s="1" customFormat="1" ht="22.5" customHeight="1">
      <c r="A1010" s="40" t="s">
        <v>326</v>
      </c>
      <c r="B1010" s="45" t="s">
        <v>126</v>
      </c>
      <c r="C1010" s="36" t="s">
        <v>228</v>
      </c>
      <c r="D1010" s="67" t="s">
        <v>325</v>
      </c>
      <c r="E1010" s="50">
        <f>9446.5</f>
        <v>9446.5</v>
      </c>
      <c r="F1010" s="50"/>
      <c r="G1010" s="50">
        <v>9446.5</v>
      </c>
      <c r="H1010" s="50"/>
      <c r="I1010" s="120"/>
    </row>
    <row r="1011" spans="1:9" s="1" customFormat="1" ht="22.5" customHeight="1">
      <c r="A1011" s="39" t="s">
        <v>383</v>
      </c>
      <c r="B1011" s="45" t="s">
        <v>126</v>
      </c>
      <c r="C1011" s="36" t="s">
        <v>693</v>
      </c>
      <c r="D1011" s="36"/>
      <c r="E1011" s="37">
        <f>E1012</f>
        <v>509.4</v>
      </c>
      <c r="F1011" s="41"/>
      <c r="G1011" s="37">
        <f>G1012</f>
        <v>509.4</v>
      </c>
      <c r="H1011" s="41"/>
      <c r="I1011" s="120"/>
    </row>
    <row r="1012" spans="1:9" s="1" customFormat="1" ht="31.5" customHeight="1">
      <c r="A1012" s="33" t="s">
        <v>328</v>
      </c>
      <c r="B1012" s="45" t="s">
        <v>126</v>
      </c>
      <c r="C1012" s="36" t="s">
        <v>693</v>
      </c>
      <c r="D1012" s="75" t="s">
        <v>327</v>
      </c>
      <c r="E1012" s="37">
        <f>E1013</f>
        <v>509.4</v>
      </c>
      <c r="F1012" s="42"/>
      <c r="G1012" s="37">
        <f>G1013</f>
        <v>509.4</v>
      </c>
      <c r="H1012" s="42"/>
      <c r="I1012" s="120"/>
    </row>
    <row r="1013" spans="1:9" s="1" customFormat="1" ht="22.5" customHeight="1">
      <c r="A1013" s="39" t="s">
        <v>326</v>
      </c>
      <c r="B1013" s="45" t="s">
        <v>126</v>
      </c>
      <c r="C1013" s="36" t="s">
        <v>693</v>
      </c>
      <c r="D1013" s="36" t="s">
        <v>325</v>
      </c>
      <c r="E1013" s="37">
        <f>571.9-62.5</f>
        <v>509.4</v>
      </c>
      <c r="F1013" s="41"/>
      <c r="G1013" s="37">
        <v>509.4</v>
      </c>
      <c r="H1013" s="41"/>
      <c r="I1013" s="120"/>
    </row>
    <row r="1014" spans="1:9" s="1" customFormat="1" ht="48" customHeight="1">
      <c r="A1014" s="40" t="s">
        <v>2</v>
      </c>
      <c r="B1014" s="8" t="s">
        <v>126</v>
      </c>
      <c r="C1014" s="8" t="s">
        <v>372</v>
      </c>
      <c r="D1014" s="35"/>
      <c r="E1014" s="54">
        <f>E1015+E1018+E1023</f>
        <v>100467.69999999998</v>
      </c>
      <c r="F1014" s="54">
        <f>F1015+F1018</f>
        <v>0</v>
      </c>
      <c r="G1014" s="54">
        <f>G1015+G1018+G1023</f>
        <v>99754.7</v>
      </c>
      <c r="H1014" s="54">
        <f>H1015+H1018</f>
        <v>0</v>
      </c>
      <c r="I1014" s="120"/>
    </row>
    <row r="1015" spans="1:9" s="1" customFormat="1" ht="21.75" customHeight="1">
      <c r="A1015" s="38" t="s">
        <v>396</v>
      </c>
      <c r="B1015" s="8" t="s">
        <v>126</v>
      </c>
      <c r="C1015" s="8" t="s">
        <v>373</v>
      </c>
      <c r="D1015" s="35"/>
      <c r="E1015" s="54">
        <f>E1016</f>
        <v>71319.9</v>
      </c>
      <c r="F1015" s="54"/>
      <c r="G1015" s="54">
        <f>G1016</f>
        <v>71319.9</v>
      </c>
      <c r="H1015" s="54"/>
      <c r="I1015" s="120"/>
    </row>
    <row r="1016" spans="1:9" s="1" customFormat="1" ht="30" customHeight="1">
      <c r="A1016" s="57" t="s">
        <v>328</v>
      </c>
      <c r="B1016" s="36" t="s">
        <v>126</v>
      </c>
      <c r="C1016" s="36" t="s">
        <v>373</v>
      </c>
      <c r="D1016" s="34" t="s">
        <v>327</v>
      </c>
      <c r="E1016" s="37">
        <f>E1017</f>
        <v>71319.9</v>
      </c>
      <c r="F1016" s="37"/>
      <c r="G1016" s="37">
        <f>G1017</f>
        <v>71319.9</v>
      </c>
      <c r="H1016" s="37"/>
      <c r="I1016" s="120"/>
    </row>
    <row r="1017" spans="1:9" s="1" customFormat="1" ht="22.5" customHeight="1">
      <c r="A1017" s="39" t="s">
        <v>326</v>
      </c>
      <c r="B1017" s="36" t="s">
        <v>126</v>
      </c>
      <c r="C1017" s="8" t="s">
        <v>373</v>
      </c>
      <c r="D1017" s="34" t="s">
        <v>325</v>
      </c>
      <c r="E1017" s="37">
        <f>61031.7+2767.5+4245+673.5+670+1444.3+487.9</f>
        <v>71319.9</v>
      </c>
      <c r="F1017" s="37"/>
      <c r="G1017" s="37">
        <v>71319.9</v>
      </c>
      <c r="H1017" s="37"/>
      <c r="I1017" s="120"/>
    </row>
    <row r="1018" spans="1:9" s="1" customFormat="1" ht="21" customHeight="1">
      <c r="A1018" s="40" t="s">
        <v>397</v>
      </c>
      <c r="B1018" s="8" t="s">
        <v>126</v>
      </c>
      <c r="C1018" s="8" t="s">
        <v>374</v>
      </c>
      <c r="D1018" s="35"/>
      <c r="E1018" s="54">
        <f>E1021+E1019</f>
        <v>25142.299999999996</v>
      </c>
      <c r="F1018" s="54"/>
      <c r="G1018" s="54">
        <f>G1021+G1019</f>
        <v>24992.3</v>
      </c>
      <c r="H1018" s="54"/>
      <c r="I1018" s="120"/>
    </row>
    <row r="1019" spans="1:9" s="1" customFormat="1" ht="24" customHeight="1">
      <c r="A1019" s="43" t="s">
        <v>170</v>
      </c>
      <c r="B1019" s="8" t="s">
        <v>126</v>
      </c>
      <c r="C1019" s="8" t="s">
        <v>374</v>
      </c>
      <c r="D1019" s="35" t="s">
        <v>169</v>
      </c>
      <c r="E1019" s="54">
        <f>E1020</f>
        <v>938.8</v>
      </c>
      <c r="F1019" s="54"/>
      <c r="G1019" s="54">
        <f>G1020</f>
        <v>788.8</v>
      </c>
      <c r="H1019" s="54"/>
      <c r="I1019" s="120"/>
    </row>
    <row r="1020" spans="1:9" s="1" customFormat="1" ht="32.25" customHeight="1">
      <c r="A1020" s="43" t="s">
        <v>172</v>
      </c>
      <c r="B1020" s="8" t="s">
        <v>126</v>
      </c>
      <c r="C1020" s="8" t="s">
        <v>374</v>
      </c>
      <c r="D1020" s="35" t="s">
        <v>171</v>
      </c>
      <c r="E1020" s="54">
        <f>1200+425-525-161.2</f>
        <v>938.8</v>
      </c>
      <c r="F1020" s="54"/>
      <c r="G1020" s="54">
        <v>788.8</v>
      </c>
      <c r="H1020" s="54"/>
      <c r="I1020" s="120"/>
    </row>
    <row r="1021" spans="1:9" s="1" customFormat="1" ht="34.5" customHeight="1">
      <c r="A1021" s="33" t="s">
        <v>328</v>
      </c>
      <c r="B1021" s="8" t="s">
        <v>126</v>
      </c>
      <c r="C1021" s="8" t="s">
        <v>374</v>
      </c>
      <c r="D1021" s="35" t="s">
        <v>327</v>
      </c>
      <c r="E1021" s="54">
        <f>E1022</f>
        <v>24203.499999999996</v>
      </c>
      <c r="F1021" s="54"/>
      <c r="G1021" s="54">
        <f>G1022</f>
        <v>24203.5</v>
      </c>
      <c r="H1021" s="54"/>
      <c r="I1021" s="120"/>
    </row>
    <row r="1022" spans="1:9" s="1" customFormat="1" ht="21.75" customHeight="1">
      <c r="A1022" s="39" t="s">
        <v>326</v>
      </c>
      <c r="B1022" s="36" t="s">
        <v>126</v>
      </c>
      <c r="C1022" s="8" t="s">
        <v>374</v>
      </c>
      <c r="D1022" s="34" t="s">
        <v>325</v>
      </c>
      <c r="E1022" s="37">
        <f>28342.6-571.9+400-700-670-2771.7+174.5</f>
        <v>24203.499999999996</v>
      </c>
      <c r="F1022" s="37"/>
      <c r="G1022" s="37">
        <v>24203.5</v>
      </c>
      <c r="H1022" s="37"/>
      <c r="I1022" s="120"/>
    </row>
    <row r="1023" spans="1:9" s="1" customFormat="1" ht="31.5" customHeight="1">
      <c r="A1023" s="40" t="s">
        <v>493</v>
      </c>
      <c r="B1023" s="36" t="s">
        <v>126</v>
      </c>
      <c r="C1023" s="8" t="s">
        <v>494</v>
      </c>
      <c r="D1023" s="35"/>
      <c r="E1023" s="54">
        <f>E1024</f>
        <v>4005.4999999999995</v>
      </c>
      <c r="F1023" s="54"/>
      <c r="G1023" s="54">
        <f>G1024</f>
        <v>3442.5</v>
      </c>
      <c r="H1023" s="54"/>
      <c r="I1023" s="120"/>
    </row>
    <row r="1024" spans="1:9" s="1" customFormat="1" ht="21.75" customHeight="1">
      <c r="A1024" s="43" t="s">
        <v>170</v>
      </c>
      <c r="B1024" s="36" t="s">
        <v>126</v>
      </c>
      <c r="C1024" s="8" t="s">
        <v>494</v>
      </c>
      <c r="D1024" s="35" t="s">
        <v>169</v>
      </c>
      <c r="E1024" s="54">
        <f>E1025</f>
        <v>4005.4999999999995</v>
      </c>
      <c r="F1024" s="54"/>
      <c r="G1024" s="54">
        <f>G1025</f>
        <v>3442.5</v>
      </c>
      <c r="H1024" s="54"/>
      <c r="I1024" s="120"/>
    </row>
    <row r="1025" spans="1:9" s="1" customFormat="1" ht="30.75" customHeight="1">
      <c r="A1025" s="43" t="s">
        <v>172</v>
      </c>
      <c r="B1025" s="36" t="s">
        <v>126</v>
      </c>
      <c r="C1025" s="8" t="s">
        <v>494</v>
      </c>
      <c r="D1025" s="35" t="s">
        <v>171</v>
      </c>
      <c r="E1025" s="54">
        <f>1150+662.5+2125.6-13.3+80.7</f>
        <v>4005.4999999999995</v>
      </c>
      <c r="F1025" s="54"/>
      <c r="G1025" s="54">
        <v>3442.5</v>
      </c>
      <c r="H1025" s="54"/>
      <c r="I1025" s="120"/>
    </row>
    <row r="1026" spans="1:9" s="1" customFormat="1" ht="30">
      <c r="A1026" s="46" t="s">
        <v>51</v>
      </c>
      <c r="B1026" s="82" t="s">
        <v>52</v>
      </c>
      <c r="C1026" s="83"/>
      <c r="D1026" s="82"/>
      <c r="E1026" s="10">
        <f>E1027</f>
        <v>11539.5</v>
      </c>
      <c r="F1026" s="10"/>
      <c r="G1026" s="10">
        <f>G1027</f>
        <v>11536.3</v>
      </c>
      <c r="H1026" s="10"/>
      <c r="I1026" s="16">
        <f>G1026/E1026*100</f>
        <v>99.97226916244205</v>
      </c>
    </row>
    <row r="1027" spans="1:9" s="1" customFormat="1" ht="21" customHeight="1">
      <c r="A1027" s="40" t="s">
        <v>163</v>
      </c>
      <c r="B1027" s="35" t="s">
        <v>52</v>
      </c>
      <c r="C1027" s="8" t="s">
        <v>375</v>
      </c>
      <c r="D1027" s="35"/>
      <c r="E1027" s="54">
        <f>E1028</f>
        <v>11539.5</v>
      </c>
      <c r="F1027" s="54"/>
      <c r="G1027" s="54">
        <f>G1028</f>
        <v>11536.3</v>
      </c>
      <c r="H1027" s="54"/>
      <c r="I1027" s="120"/>
    </row>
    <row r="1028" spans="1:9" s="1" customFormat="1" ht="68.25" customHeight="1">
      <c r="A1028" s="48" t="s">
        <v>123</v>
      </c>
      <c r="B1028" s="34" t="s">
        <v>52</v>
      </c>
      <c r="C1028" s="36" t="s">
        <v>376</v>
      </c>
      <c r="D1028" s="36"/>
      <c r="E1028" s="37">
        <f>E1029+E1031+E1033</f>
        <v>11539.5</v>
      </c>
      <c r="F1028" s="37"/>
      <c r="G1028" s="37">
        <f>G1029+G1031+G1033</f>
        <v>11536.3</v>
      </c>
      <c r="H1028" s="37"/>
      <c r="I1028" s="120"/>
    </row>
    <row r="1029" spans="1:9" s="1" customFormat="1" ht="66" customHeight="1">
      <c r="A1029" s="39" t="s">
        <v>320</v>
      </c>
      <c r="B1029" s="34" t="s">
        <v>52</v>
      </c>
      <c r="C1029" s="36" t="s">
        <v>376</v>
      </c>
      <c r="D1029" s="36" t="s">
        <v>175</v>
      </c>
      <c r="E1029" s="37">
        <f>E1030</f>
        <v>10127.5</v>
      </c>
      <c r="F1029" s="37"/>
      <c r="G1029" s="37">
        <f>G1030</f>
        <v>10127.3</v>
      </c>
      <c r="H1029" s="37"/>
      <c r="I1029" s="120"/>
    </row>
    <row r="1030" spans="1:9" s="1" customFormat="1" ht="24" customHeight="1">
      <c r="A1030" s="39" t="s">
        <v>322</v>
      </c>
      <c r="B1030" s="34" t="s">
        <v>52</v>
      </c>
      <c r="C1030" s="36" t="s">
        <v>376</v>
      </c>
      <c r="D1030" s="36" t="s">
        <v>321</v>
      </c>
      <c r="E1030" s="37">
        <v>10127.5</v>
      </c>
      <c r="F1030" s="37"/>
      <c r="G1030" s="37">
        <v>10127.3</v>
      </c>
      <c r="H1030" s="37"/>
      <c r="I1030" s="120"/>
    </row>
    <row r="1031" spans="1:9" s="1" customFormat="1" ht="21.75" customHeight="1">
      <c r="A1031" s="43" t="s">
        <v>170</v>
      </c>
      <c r="B1031" s="35" t="s">
        <v>52</v>
      </c>
      <c r="C1031" s="36" t="s">
        <v>376</v>
      </c>
      <c r="D1031" s="8" t="s">
        <v>169</v>
      </c>
      <c r="E1031" s="54">
        <f>E1032</f>
        <v>1411.1</v>
      </c>
      <c r="F1031" s="54"/>
      <c r="G1031" s="54">
        <f>G1032</f>
        <v>1408.1</v>
      </c>
      <c r="H1031" s="54"/>
      <c r="I1031" s="120"/>
    </row>
    <row r="1032" spans="1:9" s="1" customFormat="1" ht="30.75" customHeight="1">
      <c r="A1032" s="55" t="s">
        <v>172</v>
      </c>
      <c r="B1032" s="34" t="s">
        <v>52</v>
      </c>
      <c r="C1032" s="36" t="s">
        <v>376</v>
      </c>
      <c r="D1032" s="36" t="s">
        <v>171</v>
      </c>
      <c r="E1032" s="37">
        <v>1411.1</v>
      </c>
      <c r="F1032" s="37"/>
      <c r="G1032" s="37">
        <v>1408.1</v>
      </c>
      <c r="H1032" s="37"/>
      <c r="I1032" s="120"/>
    </row>
    <row r="1033" spans="1:9" s="1" customFormat="1" ht="20.25" customHeight="1">
      <c r="A1033" s="43" t="s">
        <v>174</v>
      </c>
      <c r="B1033" s="35" t="s">
        <v>52</v>
      </c>
      <c r="C1033" s="36" t="s">
        <v>376</v>
      </c>
      <c r="D1033" s="8" t="s">
        <v>173</v>
      </c>
      <c r="E1033" s="54">
        <f>E1034</f>
        <v>0.9</v>
      </c>
      <c r="F1033" s="54"/>
      <c r="G1033" s="54">
        <f>G1034</f>
        <v>0.9</v>
      </c>
      <c r="H1033" s="54"/>
      <c r="I1033" s="120"/>
    </row>
    <row r="1034" spans="1:9" s="1" customFormat="1" ht="21" customHeight="1">
      <c r="A1034" s="55" t="s">
        <v>324</v>
      </c>
      <c r="B1034" s="34" t="s">
        <v>52</v>
      </c>
      <c r="C1034" s="36" t="s">
        <v>376</v>
      </c>
      <c r="D1034" s="36" t="s">
        <v>323</v>
      </c>
      <c r="E1034" s="37">
        <v>0.9</v>
      </c>
      <c r="F1034" s="37"/>
      <c r="G1034" s="37">
        <v>0.9</v>
      </c>
      <c r="H1034" s="37"/>
      <c r="I1034" s="120"/>
    </row>
    <row r="1035" spans="1:9" s="1" customFormat="1" ht="24" customHeight="1">
      <c r="A1035" s="23" t="s">
        <v>79</v>
      </c>
      <c r="B1035" s="22" t="s">
        <v>96</v>
      </c>
      <c r="C1035" s="22"/>
      <c r="D1035" s="22"/>
      <c r="E1035" s="24">
        <f aca="true" t="shared" si="61" ref="E1035:H1036">E1036</f>
        <v>48483</v>
      </c>
      <c r="F1035" s="24">
        <f t="shared" si="61"/>
        <v>37939</v>
      </c>
      <c r="G1035" s="24">
        <f t="shared" si="61"/>
        <v>36266.5</v>
      </c>
      <c r="H1035" s="24">
        <f t="shared" si="61"/>
        <v>25738.3</v>
      </c>
      <c r="I1035" s="16">
        <f>G1035/E1035*100</f>
        <v>74.80250809562115</v>
      </c>
    </row>
    <row r="1036" spans="1:9" ht="17.25" customHeight="1">
      <c r="A1036" s="78" t="s">
        <v>50</v>
      </c>
      <c r="B1036" s="79" t="s">
        <v>80</v>
      </c>
      <c r="C1036" s="79"/>
      <c r="D1036" s="79"/>
      <c r="E1036" s="80">
        <f t="shared" si="61"/>
        <v>48483</v>
      </c>
      <c r="F1036" s="80">
        <f t="shared" si="61"/>
        <v>37939</v>
      </c>
      <c r="G1036" s="80">
        <f t="shared" si="61"/>
        <v>36266.5</v>
      </c>
      <c r="H1036" s="80">
        <f t="shared" si="61"/>
        <v>25738.3</v>
      </c>
      <c r="I1036" s="16">
        <f>G1036/E1036*100</f>
        <v>74.80250809562115</v>
      </c>
    </row>
    <row r="1037" spans="1:9" ht="58.5" customHeight="1">
      <c r="A1037" s="57" t="s">
        <v>247</v>
      </c>
      <c r="B1037" s="44" t="s">
        <v>80</v>
      </c>
      <c r="C1037" s="66" t="s">
        <v>377</v>
      </c>
      <c r="D1037" s="44"/>
      <c r="E1037" s="47">
        <f>E1038+E1041</f>
        <v>48483</v>
      </c>
      <c r="F1037" s="47">
        <f>F1038+F1041</f>
        <v>37939</v>
      </c>
      <c r="G1037" s="47">
        <f>G1038+G1041</f>
        <v>36266.5</v>
      </c>
      <c r="H1037" s="47">
        <f>H1038+H1041</f>
        <v>25738.3</v>
      </c>
      <c r="I1037" s="122"/>
    </row>
    <row r="1038" spans="1:9" ht="45" customHeight="1">
      <c r="A1038" s="33" t="s">
        <v>18</v>
      </c>
      <c r="B1038" s="45" t="s">
        <v>80</v>
      </c>
      <c r="C1038" s="66" t="s">
        <v>378</v>
      </c>
      <c r="D1038" s="44"/>
      <c r="E1038" s="50">
        <f>E1039</f>
        <v>10544</v>
      </c>
      <c r="F1038" s="50">
        <f>F1039</f>
        <v>0</v>
      </c>
      <c r="G1038" s="50">
        <f>G1039</f>
        <v>10528.2</v>
      </c>
      <c r="H1038" s="50">
        <f>H1039</f>
        <v>0</v>
      </c>
      <c r="I1038" s="122"/>
    </row>
    <row r="1039" spans="1:9" ht="21.75" customHeight="1">
      <c r="A1039" s="43" t="s">
        <v>42</v>
      </c>
      <c r="B1039" s="45" t="s">
        <v>80</v>
      </c>
      <c r="C1039" s="66" t="s">
        <v>378</v>
      </c>
      <c r="D1039" s="44" t="s">
        <v>336</v>
      </c>
      <c r="E1039" s="50">
        <f>E1040</f>
        <v>10544</v>
      </c>
      <c r="F1039" s="50"/>
      <c r="G1039" s="50">
        <f>G1040</f>
        <v>10528.2</v>
      </c>
      <c r="H1039" s="50"/>
      <c r="I1039" s="122"/>
    </row>
    <row r="1040" spans="1:9" ht="28.5" customHeight="1">
      <c r="A1040" s="48" t="s">
        <v>54</v>
      </c>
      <c r="B1040" s="45" t="s">
        <v>80</v>
      </c>
      <c r="C1040" s="66" t="s">
        <v>378</v>
      </c>
      <c r="D1040" s="44" t="s">
        <v>53</v>
      </c>
      <c r="E1040" s="50">
        <f>9714+830</f>
        <v>10544</v>
      </c>
      <c r="F1040" s="50"/>
      <c r="G1040" s="50">
        <v>10528.2</v>
      </c>
      <c r="H1040" s="50"/>
      <c r="I1040" s="122"/>
    </row>
    <row r="1041" spans="1:9" ht="48" customHeight="1">
      <c r="A1041" s="55" t="s">
        <v>19</v>
      </c>
      <c r="B1041" s="44" t="s">
        <v>80</v>
      </c>
      <c r="C1041" s="66" t="s">
        <v>426</v>
      </c>
      <c r="D1041" s="44"/>
      <c r="E1041" s="47">
        <f aca="true" t="shared" si="62" ref="E1041:H1042">E1042</f>
        <v>37939</v>
      </c>
      <c r="F1041" s="47">
        <f t="shared" si="62"/>
        <v>37939</v>
      </c>
      <c r="G1041" s="47">
        <f t="shared" si="62"/>
        <v>25738.3</v>
      </c>
      <c r="H1041" s="47">
        <f t="shared" si="62"/>
        <v>25738.3</v>
      </c>
      <c r="I1041" s="122"/>
    </row>
    <row r="1042" spans="1:9" ht="25.5" customHeight="1">
      <c r="A1042" s="43" t="s">
        <v>170</v>
      </c>
      <c r="B1042" s="45" t="s">
        <v>80</v>
      </c>
      <c r="C1042" s="66" t="s">
        <v>426</v>
      </c>
      <c r="D1042" s="44" t="s">
        <v>169</v>
      </c>
      <c r="E1042" s="50">
        <f t="shared" si="62"/>
        <v>37939</v>
      </c>
      <c r="F1042" s="50">
        <f t="shared" si="62"/>
        <v>37939</v>
      </c>
      <c r="G1042" s="50">
        <f t="shared" si="62"/>
        <v>25738.3</v>
      </c>
      <c r="H1042" s="50">
        <f t="shared" si="62"/>
        <v>25738.3</v>
      </c>
      <c r="I1042" s="122"/>
    </row>
    <row r="1043" spans="1:9" ht="34.5" customHeight="1">
      <c r="A1043" s="55" t="s">
        <v>172</v>
      </c>
      <c r="B1043" s="45" t="s">
        <v>80</v>
      </c>
      <c r="C1043" s="66" t="s">
        <v>426</v>
      </c>
      <c r="D1043" s="44" t="s">
        <v>171</v>
      </c>
      <c r="E1043" s="50">
        <f>44745-6806</f>
        <v>37939</v>
      </c>
      <c r="F1043" s="50">
        <f>E1043</f>
        <v>37939</v>
      </c>
      <c r="G1043" s="50">
        <v>25738.3</v>
      </c>
      <c r="H1043" s="50">
        <f>G1043</f>
        <v>25738.3</v>
      </c>
      <c r="I1043" s="122"/>
    </row>
    <row r="1044" spans="1:9" ht="19.5" customHeight="1">
      <c r="A1044" s="25" t="s">
        <v>104</v>
      </c>
      <c r="B1044" s="26" t="s">
        <v>127</v>
      </c>
      <c r="C1044" s="26"/>
      <c r="D1044" s="26"/>
      <c r="E1044" s="27">
        <f>E1045+E1051+E1074</f>
        <v>261624.8</v>
      </c>
      <c r="F1044" s="27">
        <f>F1045+F1051+F1074</f>
        <v>243489.8</v>
      </c>
      <c r="G1044" s="27">
        <f>G1045+G1051+G1074</f>
        <v>248382.5</v>
      </c>
      <c r="H1044" s="27">
        <f>H1045+H1051+H1074</f>
        <v>231806.59999999998</v>
      </c>
      <c r="I1044" s="27">
        <f>G1044/E1044*100</f>
        <v>94.93843855781256</v>
      </c>
    </row>
    <row r="1045" spans="1:9" ht="15.75" customHeight="1">
      <c r="A1045" s="56" t="s">
        <v>128</v>
      </c>
      <c r="B1045" s="84">
        <v>1001</v>
      </c>
      <c r="C1045" s="60"/>
      <c r="D1045" s="62"/>
      <c r="E1045" s="9">
        <f>E1046</f>
        <v>15959.1</v>
      </c>
      <c r="F1045" s="9"/>
      <c r="G1045" s="9">
        <f>G1046</f>
        <v>14917.8</v>
      </c>
      <c r="H1045" s="9"/>
      <c r="I1045" s="16">
        <f>G1045/E1045*100</f>
        <v>93.47519596969754</v>
      </c>
    </row>
    <row r="1046" spans="1:9" ht="18" customHeight="1">
      <c r="A1046" s="33" t="s">
        <v>238</v>
      </c>
      <c r="B1046" s="85">
        <v>1001</v>
      </c>
      <c r="C1046" s="8" t="s">
        <v>20</v>
      </c>
      <c r="D1046" s="35"/>
      <c r="E1046" s="42">
        <f>E1047</f>
        <v>15959.1</v>
      </c>
      <c r="F1046" s="42"/>
      <c r="G1046" s="42">
        <f>G1047</f>
        <v>14917.8</v>
      </c>
      <c r="H1046" s="42"/>
      <c r="I1046" s="122"/>
    </row>
    <row r="1047" spans="1:9" ht="51.75" customHeight="1">
      <c r="A1047" s="33" t="s">
        <v>235</v>
      </c>
      <c r="B1047" s="85">
        <v>1001</v>
      </c>
      <c r="C1047" s="8" t="s">
        <v>27</v>
      </c>
      <c r="D1047" s="35"/>
      <c r="E1047" s="42">
        <f>E1049</f>
        <v>15959.1</v>
      </c>
      <c r="F1047" s="42"/>
      <c r="G1047" s="42">
        <f>G1049</f>
        <v>14917.8</v>
      </c>
      <c r="H1047" s="42"/>
      <c r="I1047" s="122"/>
    </row>
    <row r="1048" spans="1:9" ht="18.75" customHeight="1">
      <c r="A1048" s="38" t="s">
        <v>150</v>
      </c>
      <c r="B1048" s="85">
        <v>1001</v>
      </c>
      <c r="C1048" s="8" t="s">
        <v>28</v>
      </c>
      <c r="D1048" s="35"/>
      <c r="E1048" s="42">
        <f>E1049</f>
        <v>15959.1</v>
      </c>
      <c r="F1048" s="42"/>
      <c r="G1048" s="42">
        <f>G1049</f>
        <v>14917.8</v>
      </c>
      <c r="H1048" s="42"/>
      <c r="I1048" s="122"/>
    </row>
    <row r="1049" spans="1:9" ht="19.5" customHeight="1">
      <c r="A1049" s="48" t="s">
        <v>380</v>
      </c>
      <c r="B1049" s="86">
        <v>1001</v>
      </c>
      <c r="C1049" s="8" t="s">
        <v>28</v>
      </c>
      <c r="D1049" s="34" t="s">
        <v>336</v>
      </c>
      <c r="E1049" s="41">
        <f>E1050</f>
        <v>15959.1</v>
      </c>
      <c r="F1049" s="41"/>
      <c r="G1049" s="41">
        <f>G1050</f>
        <v>14917.8</v>
      </c>
      <c r="H1049" s="41"/>
      <c r="I1049" s="122"/>
    </row>
    <row r="1050" spans="1:9" ht="24" customHeight="1">
      <c r="A1050" s="38" t="s">
        <v>385</v>
      </c>
      <c r="B1050" s="85">
        <v>1001</v>
      </c>
      <c r="C1050" s="8" t="s">
        <v>28</v>
      </c>
      <c r="D1050" s="35" t="s">
        <v>384</v>
      </c>
      <c r="E1050" s="42">
        <f>16000-40.9</f>
        <v>15959.1</v>
      </c>
      <c r="F1050" s="42"/>
      <c r="G1050" s="42">
        <v>14917.8</v>
      </c>
      <c r="H1050" s="42"/>
      <c r="I1050" s="122"/>
    </row>
    <row r="1051" spans="1:9" ht="18" customHeight="1">
      <c r="A1051" s="56" t="s">
        <v>130</v>
      </c>
      <c r="B1051" s="60" t="s">
        <v>131</v>
      </c>
      <c r="C1051" s="60"/>
      <c r="D1051" s="60"/>
      <c r="E1051" s="11">
        <f>E1071+E1056+E1052</f>
        <v>108982.09999999999</v>
      </c>
      <c r="F1051" s="11">
        <f>F1071+F1056+F1052</f>
        <v>108346.2</v>
      </c>
      <c r="G1051" s="11">
        <f>G1071+G1056+G1052</f>
        <v>105027.09999999999</v>
      </c>
      <c r="H1051" s="11">
        <f>H1071+H1056+H1052</f>
        <v>104491.9</v>
      </c>
      <c r="I1051" s="16">
        <f>G1051/E1051*100</f>
        <v>96.37096367201586</v>
      </c>
    </row>
    <row r="1052" spans="1:9" ht="78.75" customHeight="1">
      <c r="A1052" s="33" t="s">
        <v>261</v>
      </c>
      <c r="B1052" s="36" t="s">
        <v>131</v>
      </c>
      <c r="C1052" s="36" t="s">
        <v>36</v>
      </c>
      <c r="D1052" s="36"/>
      <c r="E1052" s="37">
        <f aca="true" t="shared" si="63" ref="E1052:H1054">E1053</f>
        <v>2789.4</v>
      </c>
      <c r="F1052" s="37">
        <f t="shared" si="63"/>
        <v>2156.2</v>
      </c>
      <c r="G1052" s="37">
        <f t="shared" si="63"/>
        <v>2347.7</v>
      </c>
      <c r="H1052" s="37">
        <f t="shared" si="63"/>
        <v>1814.8</v>
      </c>
      <c r="I1052" s="122"/>
    </row>
    <row r="1053" spans="1:9" ht="32.25" customHeight="1">
      <c r="A1053" s="33" t="s">
        <v>676</v>
      </c>
      <c r="B1053" s="36" t="s">
        <v>131</v>
      </c>
      <c r="C1053" s="36" t="s">
        <v>479</v>
      </c>
      <c r="D1053" s="60"/>
      <c r="E1053" s="37">
        <f t="shared" si="63"/>
        <v>2789.4</v>
      </c>
      <c r="F1053" s="37">
        <f t="shared" si="63"/>
        <v>2156.2</v>
      </c>
      <c r="G1053" s="37">
        <f t="shared" si="63"/>
        <v>2347.7</v>
      </c>
      <c r="H1053" s="37">
        <f t="shared" si="63"/>
        <v>1814.8</v>
      </c>
      <c r="I1053" s="122"/>
    </row>
    <row r="1054" spans="1:9" ht="22.5" customHeight="1">
      <c r="A1054" s="48" t="s">
        <v>380</v>
      </c>
      <c r="B1054" s="36" t="s">
        <v>131</v>
      </c>
      <c r="C1054" s="36" t="s">
        <v>479</v>
      </c>
      <c r="D1054" s="34" t="s">
        <v>336</v>
      </c>
      <c r="E1054" s="37">
        <f t="shared" si="63"/>
        <v>2789.4</v>
      </c>
      <c r="F1054" s="37">
        <f t="shared" si="63"/>
        <v>2156.2</v>
      </c>
      <c r="G1054" s="37">
        <f t="shared" si="63"/>
        <v>2347.7</v>
      </c>
      <c r="H1054" s="37">
        <f t="shared" si="63"/>
        <v>1814.8</v>
      </c>
      <c r="I1054" s="122"/>
    </row>
    <row r="1055" spans="1:9" ht="30" customHeight="1">
      <c r="A1055" s="48" t="s">
        <v>54</v>
      </c>
      <c r="B1055" s="36" t="s">
        <v>131</v>
      </c>
      <c r="C1055" s="36" t="s">
        <v>479</v>
      </c>
      <c r="D1055" s="35" t="s">
        <v>53</v>
      </c>
      <c r="E1055" s="37">
        <f>1106+1164.3+991.9-472.8</f>
        <v>2789.4</v>
      </c>
      <c r="F1055" s="37">
        <v>2156.2</v>
      </c>
      <c r="G1055" s="37">
        <v>2347.7</v>
      </c>
      <c r="H1055" s="37">
        <v>1814.8</v>
      </c>
      <c r="I1055" s="122"/>
    </row>
    <row r="1056" spans="1:9" ht="36.75" customHeight="1">
      <c r="A1056" s="33" t="s">
        <v>5</v>
      </c>
      <c r="B1056" s="36" t="s">
        <v>131</v>
      </c>
      <c r="C1056" s="36" t="s">
        <v>176</v>
      </c>
      <c r="D1056" s="36"/>
      <c r="E1056" s="37">
        <f>E1057+E1064</f>
        <v>4668.7</v>
      </c>
      <c r="F1056" s="37">
        <f>F1057+F1064</f>
        <v>4666</v>
      </c>
      <c r="G1056" s="37">
        <f>G1057+G1064</f>
        <v>4623.5</v>
      </c>
      <c r="H1056" s="37">
        <f>H1057+H1064</f>
        <v>4621.2</v>
      </c>
      <c r="I1056" s="122"/>
    </row>
    <row r="1057" spans="1:9" ht="23.25" customHeight="1">
      <c r="A1057" s="57" t="s">
        <v>291</v>
      </c>
      <c r="B1057" s="36" t="s">
        <v>131</v>
      </c>
      <c r="C1057" s="36" t="s">
        <v>214</v>
      </c>
      <c r="D1057" s="36"/>
      <c r="E1057" s="37">
        <f>E1061+E1058</f>
        <v>266.7</v>
      </c>
      <c r="F1057" s="37">
        <f>F1061+F1058</f>
        <v>264</v>
      </c>
      <c r="G1057" s="37">
        <f>G1061+G1058</f>
        <v>228.60000000000002</v>
      </c>
      <c r="H1057" s="37">
        <f>H1061+H1058</f>
        <v>226.3</v>
      </c>
      <c r="I1057" s="122"/>
    </row>
    <row r="1058" spans="1:9" ht="30" customHeight="1">
      <c r="A1058" s="48" t="s">
        <v>658</v>
      </c>
      <c r="B1058" s="36" t="s">
        <v>131</v>
      </c>
      <c r="C1058" s="36" t="s">
        <v>241</v>
      </c>
      <c r="D1058" s="36"/>
      <c r="E1058" s="37">
        <f aca="true" t="shared" si="64" ref="E1058:H1059">E1059</f>
        <v>264</v>
      </c>
      <c r="F1058" s="37">
        <f t="shared" si="64"/>
        <v>264</v>
      </c>
      <c r="G1058" s="37">
        <f t="shared" si="64"/>
        <v>226.3</v>
      </c>
      <c r="H1058" s="37">
        <f t="shared" si="64"/>
        <v>226.3</v>
      </c>
      <c r="I1058" s="122"/>
    </row>
    <row r="1059" spans="1:9" ht="23.25" customHeight="1">
      <c r="A1059" s="48" t="s">
        <v>380</v>
      </c>
      <c r="B1059" s="36" t="s">
        <v>131</v>
      </c>
      <c r="C1059" s="36" t="s">
        <v>241</v>
      </c>
      <c r="D1059" s="36" t="s">
        <v>336</v>
      </c>
      <c r="E1059" s="37">
        <f t="shared" si="64"/>
        <v>264</v>
      </c>
      <c r="F1059" s="37">
        <f t="shared" si="64"/>
        <v>264</v>
      </c>
      <c r="G1059" s="37">
        <f t="shared" si="64"/>
        <v>226.3</v>
      </c>
      <c r="H1059" s="37">
        <f t="shared" si="64"/>
        <v>226.3</v>
      </c>
      <c r="I1059" s="122"/>
    </row>
    <row r="1060" spans="1:9" ht="30" customHeight="1">
      <c r="A1060" s="48" t="s">
        <v>54</v>
      </c>
      <c r="B1060" s="36" t="s">
        <v>131</v>
      </c>
      <c r="C1060" s="36" t="s">
        <v>241</v>
      </c>
      <c r="D1060" s="36" t="s">
        <v>53</v>
      </c>
      <c r="E1060" s="37">
        <f>264</f>
        <v>264</v>
      </c>
      <c r="F1060" s="37">
        <f>E1060</f>
        <v>264</v>
      </c>
      <c r="G1060" s="37">
        <v>226.3</v>
      </c>
      <c r="H1060" s="37">
        <f>G1060</f>
        <v>226.3</v>
      </c>
      <c r="I1060" s="122"/>
    </row>
    <row r="1061" spans="1:9" ht="36" customHeight="1">
      <c r="A1061" s="48" t="s">
        <v>480</v>
      </c>
      <c r="B1061" s="36" t="s">
        <v>131</v>
      </c>
      <c r="C1061" s="36" t="s">
        <v>241</v>
      </c>
      <c r="D1061" s="36"/>
      <c r="E1061" s="37">
        <f>E1062</f>
        <v>2.7</v>
      </c>
      <c r="F1061" s="37"/>
      <c r="G1061" s="37">
        <f>G1062</f>
        <v>2.3</v>
      </c>
      <c r="H1061" s="37"/>
      <c r="I1061" s="122"/>
    </row>
    <row r="1062" spans="1:9" ht="23.25" customHeight="1">
      <c r="A1062" s="48" t="s">
        <v>380</v>
      </c>
      <c r="B1062" s="36" t="s">
        <v>131</v>
      </c>
      <c r="C1062" s="36" t="s">
        <v>241</v>
      </c>
      <c r="D1062" s="36" t="s">
        <v>336</v>
      </c>
      <c r="E1062" s="37">
        <f>E1063</f>
        <v>2.7</v>
      </c>
      <c r="F1062" s="37"/>
      <c r="G1062" s="37">
        <f>G1063</f>
        <v>2.3</v>
      </c>
      <c r="H1062" s="37"/>
      <c r="I1062" s="122"/>
    </row>
    <row r="1063" spans="1:9" ht="33.75" customHeight="1">
      <c r="A1063" s="48" t="s">
        <v>54</v>
      </c>
      <c r="B1063" s="36" t="s">
        <v>131</v>
      </c>
      <c r="C1063" s="36" t="s">
        <v>241</v>
      </c>
      <c r="D1063" s="36" t="s">
        <v>53</v>
      </c>
      <c r="E1063" s="37">
        <v>2.7</v>
      </c>
      <c r="F1063" s="37"/>
      <c r="G1063" s="37">
        <v>2.3</v>
      </c>
      <c r="H1063" s="37"/>
      <c r="I1063" s="122"/>
    </row>
    <row r="1064" spans="1:9" ht="44.25" customHeight="1">
      <c r="A1064" s="48" t="s">
        <v>289</v>
      </c>
      <c r="B1064" s="36" t="s">
        <v>131</v>
      </c>
      <c r="C1064" s="36" t="s">
        <v>288</v>
      </c>
      <c r="D1064" s="36"/>
      <c r="E1064" s="37">
        <f>E1068+E1065</f>
        <v>4402</v>
      </c>
      <c r="F1064" s="37">
        <f>F1068+F1065</f>
        <v>4402</v>
      </c>
      <c r="G1064" s="37">
        <f>G1068+G1065</f>
        <v>4394.9</v>
      </c>
      <c r="H1064" s="37">
        <f>H1068+H1065</f>
        <v>4394.9</v>
      </c>
      <c r="I1064" s="122"/>
    </row>
    <row r="1065" spans="1:9" ht="92.25" customHeight="1">
      <c r="A1065" s="48" t="s">
        <v>609</v>
      </c>
      <c r="B1065" s="36" t="s">
        <v>131</v>
      </c>
      <c r="C1065" s="36" t="s">
        <v>490</v>
      </c>
      <c r="D1065" s="36"/>
      <c r="E1065" s="37">
        <f aca="true" t="shared" si="65" ref="E1065:H1066">E1066</f>
        <v>2204</v>
      </c>
      <c r="F1065" s="37">
        <f t="shared" si="65"/>
        <v>2204</v>
      </c>
      <c r="G1065" s="37">
        <f t="shared" si="65"/>
        <v>2197.4</v>
      </c>
      <c r="H1065" s="37">
        <f t="shared" si="65"/>
        <v>2197.4</v>
      </c>
      <c r="I1065" s="122"/>
    </row>
    <row r="1066" spans="1:9" ht="21" customHeight="1">
      <c r="A1066" s="48" t="s">
        <v>380</v>
      </c>
      <c r="B1066" s="36" t="s">
        <v>131</v>
      </c>
      <c r="C1066" s="36" t="s">
        <v>490</v>
      </c>
      <c r="D1066" s="36" t="s">
        <v>336</v>
      </c>
      <c r="E1066" s="37">
        <f t="shared" si="65"/>
        <v>2204</v>
      </c>
      <c r="F1066" s="37">
        <f t="shared" si="65"/>
        <v>2204</v>
      </c>
      <c r="G1066" s="37">
        <f t="shared" si="65"/>
        <v>2197.4</v>
      </c>
      <c r="H1066" s="37">
        <f t="shared" si="65"/>
        <v>2197.4</v>
      </c>
      <c r="I1066" s="122"/>
    </row>
    <row r="1067" spans="1:9" ht="35.25" customHeight="1">
      <c r="A1067" s="48" t="s">
        <v>54</v>
      </c>
      <c r="B1067" s="36" t="s">
        <v>131</v>
      </c>
      <c r="C1067" s="36" t="s">
        <v>490</v>
      </c>
      <c r="D1067" s="36" t="s">
        <v>53</v>
      </c>
      <c r="E1067" s="37">
        <f>1112-10+1102</f>
        <v>2204</v>
      </c>
      <c r="F1067" s="37">
        <f>E1067</f>
        <v>2204</v>
      </c>
      <c r="G1067" s="37">
        <v>2197.4</v>
      </c>
      <c r="H1067" s="37">
        <f>G1067</f>
        <v>2197.4</v>
      </c>
      <c r="I1067" s="122"/>
    </row>
    <row r="1068" spans="1:9" ht="120" customHeight="1">
      <c r="A1068" s="97" t="s">
        <v>503</v>
      </c>
      <c r="B1068" s="36" t="s">
        <v>131</v>
      </c>
      <c r="C1068" s="36" t="s">
        <v>502</v>
      </c>
      <c r="D1068" s="36"/>
      <c r="E1068" s="37">
        <f aca="true" t="shared" si="66" ref="E1068:H1069">E1069</f>
        <v>2198</v>
      </c>
      <c r="F1068" s="37">
        <f t="shared" si="66"/>
        <v>2198</v>
      </c>
      <c r="G1068" s="37">
        <f t="shared" si="66"/>
        <v>2197.5</v>
      </c>
      <c r="H1068" s="37">
        <f t="shared" si="66"/>
        <v>2197.5</v>
      </c>
      <c r="I1068" s="122"/>
    </row>
    <row r="1069" spans="1:9" ht="25.5" customHeight="1">
      <c r="A1069" s="48" t="s">
        <v>380</v>
      </c>
      <c r="B1069" s="36" t="s">
        <v>131</v>
      </c>
      <c r="C1069" s="36" t="s">
        <v>502</v>
      </c>
      <c r="D1069" s="36" t="s">
        <v>336</v>
      </c>
      <c r="E1069" s="37">
        <f t="shared" si="66"/>
        <v>2198</v>
      </c>
      <c r="F1069" s="37">
        <f t="shared" si="66"/>
        <v>2198</v>
      </c>
      <c r="G1069" s="37">
        <f t="shared" si="66"/>
        <v>2197.5</v>
      </c>
      <c r="H1069" s="37">
        <f t="shared" si="66"/>
        <v>2197.5</v>
      </c>
      <c r="I1069" s="122"/>
    </row>
    <row r="1070" spans="1:9" ht="33" customHeight="1">
      <c r="A1070" s="48" t="s">
        <v>54</v>
      </c>
      <c r="B1070" s="36" t="s">
        <v>131</v>
      </c>
      <c r="C1070" s="36" t="s">
        <v>502</v>
      </c>
      <c r="D1070" s="36" t="s">
        <v>53</v>
      </c>
      <c r="E1070" s="37">
        <v>2198</v>
      </c>
      <c r="F1070" s="37">
        <f>E1070</f>
        <v>2198</v>
      </c>
      <c r="G1070" s="37">
        <v>2197.5</v>
      </c>
      <c r="H1070" s="37">
        <f>G1070</f>
        <v>2197.5</v>
      </c>
      <c r="I1070" s="122"/>
    </row>
    <row r="1071" spans="1:9" ht="60.75" customHeight="1">
      <c r="A1071" s="38" t="s">
        <v>0</v>
      </c>
      <c r="B1071" s="36" t="s">
        <v>131</v>
      </c>
      <c r="C1071" s="36" t="s">
        <v>449</v>
      </c>
      <c r="D1071" s="36"/>
      <c r="E1071" s="37">
        <f>E1073</f>
        <v>101524</v>
      </c>
      <c r="F1071" s="37">
        <f>F1073</f>
        <v>101524</v>
      </c>
      <c r="G1071" s="37">
        <f>G1073</f>
        <v>98055.9</v>
      </c>
      <c r="H1071" s="37">
        <f>H1073</f>
        <v>98055.9</v>
      </c>
      <c r="I1071" s="122"/>
    </row>
    <row r="1072" spans="1:9" ht="24" customHeight="1">
      <c r="A1072" s="48" t="s">
        <v>380</v>
      </c>
      <c r="B1072" s="36" t="s">
        <v>131</v>
      </c>
      <c r="C1072" s="36" t="s">
        <v>449</v>
      </c>
      <c r="D1072" s="36" t="s">
        <v>336</v>
      </c>
      <c r="E1072" s="37">
        <f>E1073</f>
        <v>101524</v>
      </c>
      <c r="F1072" s="37">
        <f>F1073</f>
        <v>101524</v>
      </c>
      <c r="G1072" s="37">
        <f>G1073</f>
        <v>98055.9</v>
      </c>
      <c r="H1072" s="37">
        <f>H1073</f>
        <v>98055.9</v>
      </c>
      <c r="I1072" s="122"/>
    </row>
    <row r="1073" spans="1:9" ht="31.5" customHeight="1">
      <c r="A1073" s="38" t="s">
        <v>54</v>
      </c>
      <c r="B1073" s="36" t="s">
        <v>131</v>
      </c>
      <c r="C1073" s="36" t="s">
        <v>449</v>
      </c>
      <c r="D1073" s="36" t="s">
        <v>53</v>
      </c>
      <c r="E1073" s="37">
        <f>115524-14000</f>
        <v>101524</v>
      </c>
      <c r="F1073" s="37">
        <f>E1073</f>
        <v>101524</v>
      </c>
      <c r="G1073" s="37">
        <v>98055.9</v>
      </c>
      <c r="H1073" s="37">
        <f>G1073</f>
        <v>98055.9</v>
      </c>
      <c r="I1073" s="122"/>
    </row>
    <row r="1074" spans="1:9" ht="22.5" customHeight="1">
      <c r="A1074" s="56" t="s">
        <v>59</v>
      </c>
      <c r="B1074" s="60" t="s">
        <v>129</v>
      </c>
      <c r="C1074" s="60"/>
      <c r="D1074" s="60"/>
      <c r="E1074" s="11">
        <f>E1075+E1081</f>
        <v>136683.6</v>
      </c>
      <c r="F1074" s="11">
        <f>F1075+F1081</f>
        <v>135143.6</v>
      </c>
      <c r="G1074" s="11">
        <f>G1075+G1081</f>
        <v>128437.59999999999</v>
      </c>
      <c r="H1074" s="11">
        <f>H1075+H1081</f>
        <v>127314.7</v>
      </c>
      <c r="I1074" s="16">
        <f>G1074/E1074*100</f>
        <v>93.96708895580743</v>
      </c>
    </row>
    <row r="1075" spans="1:9" ht="24" customHeight="1">
      <c r="A1075" s="38" t="s">
        <v>159</v>
      </c>
      <c r="B1075" s="36" t="s">
        <v>129</v>
      </c>
      <c r="C1075" s="36" t="s">
        <v>136</v>
      </c>
      <c r="D1075" s="36"/>
      <c r="E1075" s="37">
        <f>E1076</f>
        <v>75548</v>
      </c>
      <c r="F1075" s="37">
        <f>F1076</f>
        <v>75548</v>
      </c>
      <c r="G1075" s="37">
        <f>G1076</f>
        <v>75353.59999999999</v>
      </c>
      <c r="H1075" s="37">
        <f>H1076</f>
        <v>75353.59999999999</v>
      </c>
      <c r="I1075" s="122"/>
    </row>
    <row r="1076" spans="1:9" ht="77.25" customHeight="1">
      <c r="A1076" s="48" t="s">
        <v>269</v>
      </c>
      <c r="B1076" s="36" t="s">
        <v>129</v>
      </c>
      <c r="C1076" s="36" t="s">
        <v>425</v>
      </c>
      <c r="D1076" s="36"/>
      <c r="E1076" s="37">
        <f>E1079+E1077</f>
        <v>75548</v>
      </c>
      <c r="F1076" s="37">
        <f>F1079+F1077</f>
        <v>75548</v>
      </c>
      <c r="G1076" s="37">
        <f>G1079+G1077</f>
        <v>75353.59999999999</v>
      </c>
      <c r="H1076" s="37">
        <f>H1079+H1077</f>
        <v>75353.59999999999</v>
      </c>
      <c r="I1076" s="122"/>
    </row>
    <row r="1077" spans="1:9" ht="23.25" customHeight="1">
      <c r="A1077" s="43" t="s">
        <v>170</v>
      </c>
      <c r="B1077" s="36" t="s">
        <v>129</v>
      </c>
      <c r="C1077" s="36" t="s">
        <v>425</v>
      </c>
      <c r="D1077" s="36" t="s">
        <v>169</v>
      </c>
      <c r="E1077" s="37">
        <f>E1078</f>
        <v>748</v>
      </c>
      <c r="F1077" s="37">
        <f>F1078</f>
        <v>748</v>
      </c>
      <c r="G1077" s="37">
        <f>G1078</f>
        <v>557.4</v>
      </c>
      <c r="H1077" s="37">
        <f>H1078</f>
        <v>557.4</v>
      </c>
      <c r="I1077" s="122"/>
    </row>
    <row r="1078" spans="1:9" ht="32.25" customHeight="1">
      <c r="A1078" s="43" t="s">
        <v>172</v>
      </c>
      <c r="B1078" s="36" t="s">
        <v>129</v>
      </c>
      <c r="C1078" s="36" t="s">
        <v>425</v>
      </c>
      <c r="D1078" s="36" t="s">
        <v>171</v>
      </c>
      <c r="E1078" s="37">
        <f>831-83</f>
        <v>748</v>
      </c>
      <c r="F1078" s="37">
        <f>E1078</f>
        <v>748</v>
      </c>
      <c r="G1078" s="37">
        <v>557.4</v>
      </c>
      <c r="H1078" s="37">
        <f>G1078</f>
        <v>557.4</v>
      </c>
      <c r="I1078" s="122"/>
    </row>
    <row r="1079" spans="1:9" ht="24.75" customHeight="1">
      <c r="A1079" s="48" t="s">
        <v>380</v>
      </c>
      <c r="B1079" s="36" t="s">
        <v>129</v>
      </c>
      <c r="C1079" s="36" t="s">
        <v>425</v>
      </c>
      <c r="D1079" s="36" t="s">
        <v>336</v>
      </c>
      <c r="E1079" s="37">
        <f>E1080</f>
        <v>74800</v>
      </c>
      <c r="F1079" s="37">
        <f>F1080</f>
        <v>74800</v>
      </c>
      <c r="G1079" s="37">
        <f>G1080</f>
        <v>74796.2</v>
      </c>
      <c r="H1079" s="37">
        <f>H1080</f>
        <v>74796.2</v>
      </c>
      <c r="I1079" s="122"/>
    </row>
    <row r="1080" spans="1:9" ht="27.75" customHeight="1">
      <c r="A1080" s="38" t="s">
        <v>54</v>
      </c>
      <c r="B1080" s="36" t="s">
        <v>129</v>
      </c>
      <c r="C1080" s="36" t="s">
        <v>425</v>
      </c>
      <c r="D1080" s="36" t="s">
        <v>53</v>
      </c>
      <c r="E1080" s="37">
        <f>83112-8312</f>
        <v>74800</v>
      </c>
      <c r="F1080" s="37">
        <f>E1080</f>
        <v>74800</v>
      </c>
      <c r="G1080" s="37">
        <v>74796.2</v>
      </c>
      <c r="H1080" s="37">
        <f>G1080</f>
        <v>74796.2</v>
      </c>
      <c r="I1080" s="122"/>
    </row>
    <row r="1081" spans="1:9" ht="40.5" customHeight="1">
      <c r="A1081" s="57" t="s">
        <v>5</v>
      </c>
      <c r="B1081" s="36" t="s">
        <v>129</v>
      </c>
      <c r="C1081" s="36" t="s">
        <v>176</v>
      </c>
      <c r="D1081" s="36"/>
      <c r="E1081" s="37">
        <f>E1086+E1082</f>
        <v>61135.6</v>
      </c>
      <c r="F1081" s="37">
        <f>F1086+F1082</f>
        <v>59595.6</v>
      </c>
      <c r="G1081" s="37">
        <f>G1086+G1082</f>
        <v>53084</v>
      </c>
      <c r="H1081" s="37">
        <f>H1086+H1082</f>
        <v>51961.100000000006</v>
      </c>
      <c r="I1081" s="122"/>
    </row>
    <row r="1082" spans="1:9" ht="22.5" customHeight="1">
      <c r="A1082" s="38" t="s">
        <v>287</v>
      </c>
      <c r="B1082" s="36" t="s">
        <v>129</v>
      </c>
      <c r="C1082" s="36" t="s">
        <v>177</v>
      </c>
      <c r="D1082" s="36"/>
      <c r="E1082" s="37">
        <f>E1084</f>
        <v>2964.6000000000004</v>
      </c>
      <c r="F1082" s="37">
        <f>F1084</f>
        <v>1424.6</v>
      </c>
      <c r="G1082" s="37">
        <f>G1084</f>
        <v>2546.7</v>
      </c>
      <c r="H1082" s="37">
        <f>H1084</f>
        <v>1423.8</v>
      </c>
      <c r="I1082" s="122"/>
    </row>
    <row r="1083" spans="1:9" ht="30.75" customHeight="1">
      <c r="A1083" s="48" t="s">
        <v>491</v>
      </c>
      <c r="B1083" s="36" t="s">
        <v>129</v>
      </c>
      <c r="C1083" s="36" t="s">
        <v>472</v>
      </c>
      <c r="D1083" s="36"/>
      <c r="E1083" s="37">
        <f aca="true" t="shared" si="67" ref="E1083:H1084">E1084</f>
        <v>2964.6000000000004</v>
      </c>
      <c r="F1083" s="37">
        <f t="shared" si="67"/>
        <v>1424.6</v>
      </c>
      <c r="G1083" s="37">
        <f t="shared" si="67"/>
        <v>2546.7</v>
      </c>
      <c r="H1083" s="37">
        <f t="shared" si="67"/>
        <v>1423.8</v>
      </c>
      <c r="I1083" s="122"/>
    </row>
    <row r="1084" spans="1:9" ht="18" customHeight="1">
      <c r="A1084" s="48" t="s">
        <v>380</v>
      </c>
      <c r="B1084" s="36" t="s">
        <v>129</v>
      </c>
      <c r="C1084" s="36" t="s">
        <v>472</v>
      </c>
      <c r="D1084" s="36" t="s">
        <v>336</v>
      </c>
      <c r="E1084" s="37">
        <f t="shared" si="67"/>
        <v>2964.6000000000004</v>
      </c>
      <c r="F1084" s="37">
        <f t="shared" si="67"/>
        <v>1424.6</v>
      </c>
      <c r="G1084" s="37">
        <f t="shared" si="67"/>
        <v>2546.7</v>
      </c>
      <c r="H1084" s="37">
        <f t="shared" si="67"/>
        <v>1423.8</v>
      </c>
      <c r="I1084" s="122"/>
    </row>
    <row r="1085" spans="1:9" ht="32.25" customHeight="1">
      <c r="A1085" s="48" t="s">
        <v>54</v>
      </c>
      <c r="B1085" s="36" t="s">
        <v>129</v>
      </c>
      <c r="C1085" s="36" t="s">
        <v>472</v>
      </c>
      <c r="D1085" s="36" t="s">
        <v>53</v>
      </c>
      <c r="E1085" s="37">
        <f>1540+1123.3+301.3</f>
        <v>2964.6000000000004</v>
      </c>
      <c r="F1085" s="37">
        <f>301.3+1123.3</f>
        <v>1424.6</v>
      </c>
      <c r="G1085" s="37">
        <v>2546.7</v>
      </c>
      <c r="H1085" s="37">
        <v>1423.8</v>
      </c>
      <c r="I1085" s="122"/>
    </row>
    <row r="1086" spans="1:9" ht="49.5" customHeight="1">
      <c r="A1086" s="57" t="s">
        <v>515</v>
      </c>
      <c r="B1086" s="36" t="s">
        <v>129</v>
      </c>
      <c r="C1086" s="36" t="s">
        <v>290</v>
      </c>
      <c r="D1086" s="36"/>
      <c r="E1086" s="37">
        <f>E1087</f>
        <v>58171</v>
      </c>
      <c r="F1086" s="37">
        <f aca="true" t="shared" si="68" ref="E1086:H1088">F1087</f>
        <v>58171</v>
      </c>
      <c r="G1086" s="37">
        <f>G1087</f>
        <v>50537.3</v>
      </c>
      <c r="H1086" s="37">
        <f t="shared" si="68"/>
        <v>50537.3</v>
      </c>
      <c r="I1086" s="122"/>
    </row>
    <row r="1087" spans="1:9" ht="75.75" customHeight="1">
      <c r="A1087" s="38" t="s">
        <v>475</v>
      </c>
      <c r="B1087" s="36" t="s">
        <v>129</v>
      </c>
      <c r="C1087" s="36" t="s">
        <v>427</v>
      </c>
      <c r="D1087" s="36"/>
      <c r="E1087" s="37">
        <f t="shared" si="68"/>
        <v>58171</v>
      </c>
      <c r="F1087" s="37">
        <f t="shared" si="68"/>
        <v>58171</v>
      </c>
      <c r="G1087" s="37">
        <f t="shared" si="68"/>
        <v>50537.3</v>
      </c>
      <c r="H1087" s="37">
        <f t="shared" si="68"/>
        <v>50537.3</v>
      </c>
      <c r="I1087" s="122"/>
    </row>
    <row r="1088" spans="1:9" ht="36" customHeight="1">
      <c r="A1088" s="43" t="s">
        <v>315</v>
      </c>
      <c r="B1088" s="36" t="s">
        <v>129</v>
      </c>
      <c r="C1088" s="36" t="s">
        <v>427</v>
      </c>
      <c r="D1088" s="36" t="s">
        <v>381</v>
      </c>
      <c r="E1088" s="37">
        <f t="shared" si="68"/>
        <v>58171</v>
      </c>
      <c r="F1088" s="37">
        <f t="shared" si="68"/>
        <v>58171</v>
      </c>
      <c r="G1088" s="37">
        <f t="shared" si="68"/>
        <v>50537.3</v>
      </c>
      <c r="H1088" s="37">
        <f t="shared" si="68"/>
        <v>50537.3</v>
      </c>
      <c r="I1088" s="122"/>
    </row>
    <row r="1089" spans="1:9" ht="23.25" customHeight="1">
      <c r="A1089" s="38" t="s">
        <v>382</v>
      </c>
      <c r="B1089" s="36" t="s">
        <v>129</v>
      </c>
      <c r="C1089" s="36" t="s">
        <v>427</v>
      </c>
      <c r="D1089" s="36" t="s">
        <v>386</v>
      </c>
      <c r="E1089" s="37">
        <f>44210+13961</f>
        <v>58171</v>
      </c>
      <c r="F1089" s="37">
        <f>E1089</f>
        <v>58171</v>
      </c>
      <c r="G1089" s="37">
        <v>50537.3</v>
      </c>
      <c r="H1089" s="37">
        <f>G1089</f>
        <v>50537.3</v>
      </c>
      <c r="I1089" s="122"/>
    </row>
    <row r="1090" spans="1:9" s="4" customFormat="1" ht="22.5" customHeight="1">
      <c r="A1090" s="19" t="s">
        <v>61</v>
      </c>
      <c r="B1090" s="17" t="s">
        <v>82</v>
      </c>
      <c r="C1090" s="17"/>
      <c r="D1090" s="17"/>
      <c r="E1090" s="18">
        <f>E1091+E1131</f>
        <v>182224.40000000002</v>
      </c>
      <c r="F1090" s="18">
        <f>F1091+F1131</f>
        <v>6185.7</v>
      </c>
      <c r="G1090" s="18">
        <f>G1091+G1131</f>
        <v>181364.1</v>
      </c>
      <c r="H1090" s="18">
        <f>H1091+H1131</f>
        <v>5592.2</v>
      </c>
      <c r="I1090" s="18">
        <f>G1090/E1090*100</f>
        <v>99.52788978863423</v>
      </c>
    </row>
    <row r="1091" spans="1:9" ht="18.75" customHeight="1">
      <c r="A1091" s="56" t="s">
        <v>69</v>
      </c>
      <c r="B1091" s="60" t="s">
        <v>70</v>
      </c>
      <c r="C1091" s="60"/>
      <c r="D1091" s="62"/>
      <c r="E1091" s="11">
        <f>E1092+E1124</f>
        <v>178474.50000000003</v>
      </c>
      <c r="F1091" s="11">
        <f>F1092+F1124</f>
        <v>3287</v>
      </c>
      <c r="G1091" s="11">
        <f>G1092+G1124</f>
        <v>177614.2</v>
      </c>
      <c r="H1091" s="11">
        <f>H1092+H1124</f>
        <v>2693.5</v>
      </c>
      <c r="I1091" s="16">
        <f>G1091/E1091*100</f>
        <v>99.5179703543083</v>
      </c>
    </row>
    <row r="1092" spans="1:9" ht="57" customHeight="1">
      <c r="A1092" s="49" t="s">
        <v>266</v>
      </c>
      <c r="B1092" s="36" t="s">
        <v>70</v>
      </c>
      <c r="C1092" s="8" t="s">
        <v>355</v>
      </c>
      <c r="D1092" s="8"/>
      <c r="E1092" s="37">
        <f>E1093+E1120</f>
        <v>175974.50000000003</v>
      </c>
      <c r="F1092" s="37">
        <f>F1093</f>
        <v>1537</v>
      </c>
      <c r="G1092" s="37">
        <f>G1093+G1120</f>
        <v>175893</v>
      </c>
      <c r="H1092" s="37">
        <f>H1093</f>
        <v>1488.7</v>
      </c>
      <c r="I1092" s="122"/>
    </row>
    <row r="1093" spans="1:9" ht="22.5" customHeight="1">
      <c r="A1093" s="57" t="s">
        <v>275</v>
      </c>
      <c r="B1093" s="36" t="s">
        <v>70</v>
      </c>
      <c r="C1093" s="36" t="s">
        <v>379</v>
      </c>
      <c r="D1093" s="36"/>
      <c r="E1093" s="37">
        <f>E1094+E1113</f>
        <v>175961.40000000002</v>
      </c>
      <c r="F1093" s="37">
        <f>F1094+F1113</f>
        <v>1537</v>
      </c>
      <c r="G1093" s="37">
        <f>G1094+G1113</f>
        <v>175893</v>
      </c>
      <c r="H1093" s="37">
        <f>H1094+H1113</f>
        <v>1488.7</v>
      </c>
      <c r="I1093" s="122"/>
    </row>
    <row r="1094" spans="1:9" ht="36" customHeight="1">
      <c r="A1094" s="57" t="s">
        <v>298</v>
      </c>
      <c r="B1094" s="36" t="s">
        <v>70</v>
      </c>
      <c r="C1094" s="8" t="s">
        <v>299</v>
      </c>
      <c r="D1094" s="8"/>
      <c r="E1094" s="37">
        <f>E1095+E1098+E1104+E1110+E1101+E1107</f>
        <v>169951.40000000002</v>
      </c>
      <c r="F1094" s="37">
        <f>F1095+F1098+F1104+F1110</f>
        <v>637</v>
      </c>
      <c r="G1094" s="37">
        <f>G1095+G1098+G1104+G1110+G1101+G1107</f>
        <v>169883</v>
      </c>
      <c r="H1094" s="37">
        <f>H1095+H1098+H1104+H1110</f>
        <v>588.7</v>
      </c>
      <c r="I1094" s="122"/>
    </row>
    <row r="1095" spans="1:9" ht="36" customHeight="1">
      <c r="A1095" s="57" t="s">
        <v>250</v>
      </c>
      <c r="B1095" s="36" t="s">
        <v>70</v>
      </c>
      <c r="C1095" s="8" t="s">
        <v>295</v>
      </c>
      <c r="D1095" s="8"/>
      <c r="E1095" s="37">
        <f>E1096</f>
        <v>4895.299999999999</v>
      </c>
      <c r="F1095" s="37"/>
      <c r="G1095" s="37">
        <f>G1096</f>
        <v>4895.3</v>
      </c>
      <c r="H1095" s="37"/>
      <c r="I1095" s="122"/>
    </row>
    <row r="1096" spans="1:9" ht="36" customHeight="1">
      <c r="A1096" s="57" t="s">
        <v>328</v>
      </c>
      <c r="B1096" s="36" t="s">
        <v>70</v>
      </c>
      <c r="C1096" s="8" t="s">
        <v>295</v>
      </c>
      <c r="D1096" s="8" t="s">
        <v>327</v>
      </c>
      <c r="E1096" s="37">
        <f>E1097</f>
        <v>4895.299999999999</v>
      </c>
      <c r="F1096" s="37"/>
      <c r="G1096" s="37">
        <f>G1097</f>
        <v>4895.3</v>
      </c>
      <c r="H1096" s="37"/>
      <c r="I1096" s="122"/>
    </row>
    <row r="1097" spans="1:9" ht="24.75" customHeight="1">
      <c r="A1097" s="57" t="s">
        <v>326</v>
      </c>
      <c r="B1097" s="36" t="s">
        <v>70</v>
      </c>
      <c r="C1097" s="8" t="s">
        <v>295</v>
      </c>
      <c r="D1097" s="8" t="s">
        <v>325</v>
      </c>
      <c r="E1097" s="37">
        <f>3670.9+447+777.4</f>
        <v>4895.299999999999</v>
      </c>
      <c r="F1097" s="37"/>
      <c r="G1097" s="37">
        <v>4895.3</v>
      </c>
      <c r="H1097" s="37"/>
      <c r="I1097" s="122"/>
    </row>
    <row r="1098" spans="1:9" ht="36" customHeight="1">
      <c r="A1098" s="57" t="s">
        <v>251</v>
      </c>
      <c r="B1098" s="36" t="s">
        <v>70</v>
      </c>
      <c r="C1098" s="8" t="s">
        <v>296</v>
      </c>
      <c r="D1098" s="8"/>
      <c r="E1098" s="37">
        <f>E1099</f>
        <v>30045.4</v>
      </c>
      <c r="F1098" s="37"/>
      <c r="G1098" s="37">
        <f>G1099</f>
        <v>30045.4</v>
      </c>
      <c r="H1098" s="37"/>
      <c r="I1098" s="122"/>
    </row>
    <row r="1099" spans="1:9" ht="40.5" customHeight="1">
      <c r="A1099" s="57" t="s">
        <v>328</v>
      </c>
      <c r="B1099" s="36" t="s">
        <v>70</v>
      </c>
      <c r="C1099" s="8" t="s">
        <v>296</v>
      </c>
      <c r="D1099" s="8" t="s">
        <v>327</v>
      </c>
      <c r="E1099" s="37">
        <f>E1100</f>
        <v>30045.4</v>
      </c>
      <c r="F1099" s="37"/>
      <c r="G1099" s="37">
        <f>G1100</f>
        <v>30045.4</v>
      </c>
      <c r="H1099" s="37"/>
      <c r="I1099" s="122"/>
    </row>
    <row r="1100" spans="1:9" ht="20.25" customHeight="1">
      <c r="A1100" s="57" t="s">
        <v>331</v>
      </c>
      <c r="B1100" s="36" t="s">
        <v>70</v>
      </c>
      <c r="C1100" s="8" t="s">
        <v>296</v>
      </c>
      <c r="D1100" s="8" t="s">
        <v>330</v>
      </c>
      <c r="E1100" s="37">
        <f>24676.4+920+4000+449</f>
        <v>30045.4</v>
      </c>
      <c r="F1100" s="37"/>
      <c r="G1100" s="37">
        <v>30045.4</v>
      </c>
      <c r="H1100" s="37"/>
      <c r="I1100" s="122"/>
    </row>
    <row r="1101" spans="1:9" ht="23.25" customHeight="1">
      <c r="A1101" s="57" t="s">
        <v>164</v>
      </c>
      <c r="B1101" s="36" t="s">
        <v>70</v>
      </c>
      <c r="C1101" s="8" t="s">
        <v>514</v>
      </c>
      <c r="D1101" s="8"/>
      <c r="E1101" s="37">
        <f>E1102</f>
        <v>980</v>
      </c>
      <c r="F1101" s="37"/>
      <c r="G1101" s="37">
        <f>G1102</f>
        <v>980</v>
      </c>
      <c r="H1101" s="37"/>
      <c r="I1101" s="122"/>
    </row>
    <row r="1102" spans="1:9" ht="33" customHeight="1">
      <c r="A1102" s="57" t="s">
        <v>328</v>
      </c>
      <c r="B1102" s="36" t="s">
        <v>70</v>
      </c>
      <c r="C1102" s="8" t="s">
        <v>514</v>
      </c>
      <c r="D1102" s="8" t="s">
        <v>327</v>
      </c>
      <c r="E1102" s="37">
        <f>E1103</f>
        <v>980</v>
      </c>
      <c r="F1102" s="37"/>
      <c r="G1102" s="37">
        <f>G1103</f>
        <v>980</v>
      </c>
      <c r="H1102" s="37"/>
      <c r="I1102" s="122"/>
    </row>
    <row r="1103" spans="1:9" ht="20.25" customHeight="1">
      <c r="A1103" s="57" t="s">
        <v>331</v>
      </c>
      <c r="B1103" s="36" t="s">
        <v>70</v>
      </c>
      <c r="C1103" s="8" t="s">
        <v>514</v>
      </c>
      <c r="D1103" s="8" t="s">
        <v>330</v>
      </c>
      <c r="E1103" s="37">
        <f>480+500</f>
        <v>980</v>
      </c>
      <c r="F1103" s="37"/>
      <c r="G1103" s="37">
        <v>980</v>
      </c>
      <c r="H1103" s="37"/>
      <c r="I1103" s="122"/>
    </row>
    <row r="1104" spans="1:9" ht="31.5" customHeight="1">
      <c r="A1104" s="57" t="s">
        <v>313</v>
      </c>
      <c r="B1104" s="36" t="s">
        <v>70</v>
      </c>
      <c r="C1104" s="8" t="s">
        <v>297</v>
      </c>
      <c r="D1104" s="8"/>
      <c r="E1104" s="37">
        <f>E1105</f>
        <v>125762.70000000001</v>
      </c>
      <c r="F1104" s="37">
        <f>F1105</f>
        <v>0</v>
      </c>
      <c r="G1104" s="37">
        <f>G1105</f>
        <v>125762.7</v>
      </c>
      <c r="H1104" s="37">
        <f>H1105</f>
        <v>0</v>
      </c>
      <c r="I1104" s="122"/>
    </row>
    <row r="1105" spans="1:9" ht="31.5" customHeight="1">
      <c r="A1105" s="57" t="s">
        <v>328</v>
      </c>
      <c r="B1105" s="36" t="s">
        <v>70</v>
      </c>
      <c r="C1105" s="8" t="s">
        <v>297</v>
      </c>
      <c r="D1105" s="8" t="s">
        <v>327</v>
      </c>
      <c r="E1105" s="37">
        <f>E1106</f>
        <v>125762.70000000001</v>
      </c>
      <c r="F1105" s="37"/>
      <c r="G1105" s="37">
        <f>G1106</f>
        <v>125762.7</v>
      </c>
      <c r="H1105" s="37"/>
      <c r="I1105" s="122"/>
    </row>
    <row r="1106" spans="1:9" ht="19.5" customHeight="1">
      <c r="A1106" s="57" t="s">
        <v>326</v>
      </c>
      <c r="B1106" s="36" t="s">
        <v>70</v>
      </c>
      <c r="C1106" s="8" t="s">
        <v>297</v>
      </c>
      <c r="D1106" s="8" t="s">
        <v>325</v>
      </c>
      <c r="E1106" s="37">
        <f>120727.7-398+7631+4733-7631+100+600</f>
        <v>125762.70000000001</v>
      </c>
      <c r="F1106" s="37"/>
      <c r="G1106" s="37">
        <v>125762.7</v>
      </c>
      <c r="H1106" s="37"/>
      <c r="I1106" s="122"/>
    </row>
    <row r="1107" spans="1:9" ht="19.5" customHeight="1">
      <c r="A1107" s="39" t="s">
        <v>383</v>
      </c>
      <c r="B1107" s="36" t="s">
        <v>70</v>
      </c>
      <c r="C1107" s="8" t="s">
        <v>706</v>
      </c>
      <c r="D1107" s="8"/>
      <c r="E1107" s="37">
        <f>E1108</f>
        <v>7631</v>
      </c>
      <c r="F1107" s="37">
        <f>F1108</f>
        <v>0</v>
      </c>
      <c r="G1107" s="37">
        <f>G1108</f>
        <v>7610.9</v>
      </c>
      <c r="H1107" s="37">
        <f>H1108</f>
        <v>0</v>
      </c>
      <c r="I1107" s="122"/>
    </row>
    <row r="1108" spans="1:9" ht="30" customHeight="1">
      <c r="A1108" s="57" t="s">
        <v>328</v>
      </c>
      <c r="B1108" s="36" t="s">
        <v>70</v>
      </c>
      <c r="C1108" s="8" t="s">
        <v>706</v>
      </c>
      <c r="D1108" s="8" t="s">
        <v>327</v>
      </c>
      <c r="E1108" s="37">
        <f>E1109</f>
        <v>7631</v>
      </c>
      <c r="F1108" s="37"/>
      <c r="G1108" s="37">
        <f>G1109</f>
        <v>7610.9</v>
      </c>
      <c r="H1108" s="37"/>
      <c r="I1108" s="122"/>
    </row>
    <row r="1109" spans="1:9" ht="19.5" customHeight="1">
      <c r="A1109" s="57" t="s">
        <v>326</v>
      </c>
      <c r="B1109" s="36" t="s">
        <v>70</v>
      </c>
      <c r="C1109" s="8" t="s">
        <v>706</v>
      </c>
      <c r="D1109" s="8" t="s">
        <v>325</v>
      </c>
      <c r="E1109" s="37">
        <f>2250-0.2-59.8+5500-59</f>
        <v>7631</v>
      </c>
      <c r="F1109" s="37"/>
      <c r="G1109" s="37">
        <v>7610.9</v>
      </c>
      <c r="H1109" s="37"/>
      <c r="I1109" s="122"/>
    </row>
    <row r="1110" spans="1:9" ht="46.5" customHeight="1">
      <c r="A1110" s="48" t="s">
        <v>617</v>
      </c>
      <c r="B1110" s="36" t="s">
        <v>70</v>
      </c>
      <c r="C1110" s="36" t="s">
        <v>619</v>
      </c>
      <c r="D1110" s="34"/>
      <c r="E1110" s="41">
        <f aca="true" t="shared" si="69" ref="E1110:H1111">E1111</f>
        <v>637</v>
      </c>
      <c r="F1110" s="41">
        <f t="shared" si="69"/>
        <v>637</v>
      </c>
      <c r="G1110" s="41">
        <f t="shared" si="69"/>
        <v>588.7</v>
      </c>
      <c r="H1110" s="41">
        <f t="shared" si="69"/>
        <v>588.7</v>
      </c>
      <c r="I1110" s="122"/>
    </row>
    <row r="1111" spans="1:9" ht="30.75" customHeight="1">
      <c r="A1111" s="57" t="s">
        <v>328</v>
      </c>
      <c r="B1111" s="36" t="s">
        <v>70</v>
      </c>
      <c r="C1111" s="36" t="s">
        <v>619</v>
      </c>
      <c r="D1111" s="34" t="s">
        <v>327</v>
      </c>
      <c r="E1111" s="41">
        <f t="shared" si="69"/>
        <v>637</v>
      </c>
      <c r="F1111" s="41">
        <f t="shared" si="69"/>
        <v>637</v>
      </c>
      <c r="G1111" s="41">
        <f t="shared" si="69"/>
        <v>588.7</v>
      </c>
      <c r="H1111" s="41">
        <f t="shared" si="69"/>
        <v>588.7</v>
      </c>
      <c r="I1111" s="122"/>
    </row>
    <row r="1112" spans="1:9" ht="19.5" customHeight="1">
      <c r="A1112" s="57" t="s">
        <v>326</v>
      </c>
      <c r="B1112" s="36" t="s">
        <v>70</v>
      </c>
      <c r="C1112" s="36" t="s">
        <v>619</v>
      </c>
      <c r="D1112" s="34" t="s">
        <v>325</v>
      </c>
      <c r="E1112" s="41">
        <f>480+157</f>
        <v>637</v>
      </c>
      <c r="F1112" s="41">
        <f>E1112</f>
        <v>637</v>
      </c>
      <c r="G1112" s="41">
        <v>588.7</v>
      </c>
      <c r="H1112" s="41">
        <f>G1112</f>
        <v>588.7</v>
      </c>
      <c r="I1112" s="122"/>
    </row>
    <row r="1113" spans="1:9" ht="30.75" customHeight="1">
      <c r="A1113" s="57" t="s">
        <v>293</v>
      </c>
      <c r="B1113" s="36" t="s">
        <v>70</v>
      </c>
      <c r="C1113" s="8" t="s">
        <v>292</v>
      </c>
      <c r="D1113" s="8"/>
      <c r="E1113" s="37">
        <f>E1114+E1117</f>
        <v>6010</v>
      </c>
      <c r="F1113" s="37">
        <f>F1114+F1117</f>
        <v>900</v>
      </c>
      <c r="G1113" s="37">
        <f>G1114+G1117</f>
        <v>6010</v>
      </c>
      <c r="H1113" s="37">
        <f>H1114+H1117</f>
        <v>900</v>
      </c>
      <c r="I1113" s="122"/>
    </row>
    <row r="1114" spans="1:9" ht="18.75" customHeight="1">
      <c r="A1114" s="57" t="s">
        <v>164</v>
      </c>
      <c r="B1114" s="36" t="s">
        <v>70</v>
      </c>
      <c r="C1114" s="8" t="s">
        <v>294</v>
      </c>
      <c r="D1114" s="8"/>
      <c r="E1114" s="37">
        <f>E1115</f>
        <v>5110</v>
      </c>
      <c r="F1114" s="37"/>
      <c r="G1114" s="37">
        <f>G1115</f>
        <v>5110</v>
      </c>
      <c r="H1114" s="37"/>
      <c r="I1114" s="122"/>
    </row>
    <row r="1115" spans="1:9" ht="30.75" customHeight="1">
      <c r="A1115" s="57" t="s">
        <v>328</v>
      </c>
      <c r="B1115" s="36" t="s">
        <v>70</v>
      </c>
      <c r="C1115" s="8" t="s">
        <v>294</v>
      </c>
      <c r="D1115" s="8" t="s">
        <v>327</v>
      </c>
      <c r="E1115" s="37">
        <f>E1116</f>
        <v>5110</v>
      </c>
      <c r="F1115" s="37"/>
      <c r="G1115" s="37">
        <f>G1116</f>
        <v>5110</v>
      </c>
      <c r="H1115" s="37"/>
      <c r="I1115" s="122"/>
    </row>
    <row r="1116" spans="1:9" ht="21" customHeight="1">
      <c r="A1116" s="57" t="s">
        <v>326</v>
      </c>
      <c r="B1116" s="36" t="s">
        <v>70</v>
      </c>
      <c r="C1116" s="8" t="s">
        <v>294</v>
      </c>
      <c r="D1116" s="8" t="s">
        <v>325</v>
      </c>
      <c r="E1116" s="37">
        <f>4960+150</f>
        <v>5110</v>
      </c>
      <c r="F1116" s="37"/>
      <c r="G1116" s="37">
        <v>5110</v>
      </c>
      <c r="H1116" s="37"/>
      <c r="I1116" s="122"/>
    </row>
    <row r="1117" spans="1:9" ht="47.25" customHeight="1">
      <c r="A1117" s="48" t="s">
        <v>617</v>
      </c>
      <c r="B1117" s="36" t="s">
        <v>70</v>
      </c>
      <c r="C1117" s="36" t="s">
        <v>618</v>
      </c>
      <c r="D1117" s="34"/>
      <c r="E1117" s="41">
        <f aca="true" t="shared" si="70" ref="E1117:H1118">E1118</f>
        <v>900</v>
      </c>
      <c r="F1117" s="41">
        <f t="shared" si="70"/>
        <v>900</v>
      </c>
      <c r="G1117" s="41">
        <f t="shared" si="70"/>
        <v>900</v>
      </c>
      <c r="H1117" s="41">
        <f t="shared" si="70"/>
        <v>900</v>
      </c>
      <c r="I1117" s="122"/>
    </row>
    <row r="1118" spans="1:9" ht="30.75" customHeight="1">
      <c r="A1118" s="57" t="s">
        <v>328</v>
      </c>
      <c r="B1118" s="36" t="s">
        <v>70</v>
      </c>
      <c r="C1118" s="36" t="s">
        <v>618</v>
      </c>
      <c r="D1118" s="35" t="s">
        <v>327</v>
      </c>
      <c r="E1118" s="41">
        <f t="shared" si="70"/>
        <v>900</v>
      </c>
      <c r="F1118" s="41">
        <f t="shared" si="70"/>
        <v>900</v>
      </c>
      <c r="G1118" s="41">
        <f t="shared" si="70"/>
        <v>900</v>
      </c>
      <c r="H1118" s="41">
        <f t="shared" si="70"/>
        <v>900</v>
      </c>
      <c r="I1118" s="122"/>
    </row>
    <row r="1119" spans="1:9" ht="21" customHeight="1">
      <c r="A1119" s="57" t="s">
        <v>326</v>
      </c>
      <c r="B1119" s="36" t="s">
        <v>70</v>
      </c>
      <c r="C1119" s="36" t="s">
        <v>618</v>
      </c>
      <c r="D1119" s="35" t="s">
        <v>325</v>
      </c>
      <c r="E1119" s="41">
        <v>900</v>
      </c>
      <c r="F1119" s="41">
        <f>E1119</f>
        <v>900</v>
      </c>
      <c r="G1119" s="41">
        <v>900</v>
      </c>
      <c r="H1119" s="41">
        <f>G1119</f>
        <v>900</v>
      </c>
      <c r="I1119" s="122"/>
    </row>
    <row r="1120" spans="1:9" ht="32.25" customHeight="1">
      <c r="A1120" s="57" t="s">
        <v>622</v>
      </c>
      <c r="B1120" s="36" t="s">
        <v>70</v>
      </c>
      <c r="C1120" s="8" t="s">
        <v>623</v>
      </c>
      <c r="D1120" s="8"/>
      <c r="E1120" s="41">
        <f>E1121</f>
        <v>13.1</v>
      </c>
      <c r="F1120" s="41"/>
      <c r="G1120" s="41">
        <f>G1121</f>
        <v>0</v>
      </c>
      <c r="H1120" s="41"/>
      <c r="I1120" s="122"/>
    </row>
    <row r="1121" spans="1:9" ht="21" customHeight="1">
      <c r="A1121" s="39" t="s">
        <v>383</v>
      </c>
      <c r="B1121" s="36" t="s">
        <v>70</v>
      </c>
      <c r="C1121" s="8" t="s">
        <v>705</v>
      </c>
      <c r="D1121" s="35"/>
      <c r="E1121" s="41">
        <f>E1122</f>
        <v>13.1</v>
      </c>
      <c r="F1121" s="41"/>
      <c r="G1121" s="41">
        <f>G1122</f>
        <v>0</v>
      </c>
      <c r="H1121" s="41"/>
      <c r="I1121" s="122"/>
    </row>
    <row r="1122" spans="1:9" ht="30.75" customHeight="1">
      <c r="A1122" s="57" t="s">
        <v>328</v>
      </c>
      <c r="B1122" s="36" t="s">
        <v>70</v>
      </c>
      <c r="C1122" s="8" t="s">
        <v>705</v>
      </c>
      <c r="D1122" s="35" t="s">
        <v>327</v>
      </c>
      <c r="E1122" s="41">
        <f>E1123</f>
        <v>13.1</v>
      </c>
      <c r="F1122" s="41"/>
      <c r="G1122" s="41">
        <f>G1123</f>
        <v>0</v>
      </c>
      <c r="H1122" s="41"/>
      <c r="I1122" s="122"/>
    </row>
    <row r="1123" spans="1:9" ht="21" customHeight="1">
      <c r="A1123" s="57" t="s">
        <v>326</v>
      </c>
      <c r="B1123" s="36" t="s">
        <v>70</v>
      </c>
      <c r="C1123" s="8" t="s">
        <v>705</v>
      </c>
      <c r="D1123" s="35" t="s">
        <v>325</v>
      </c>
      <c r="E1123" s="41">
        <v>13.1</v>
      </c>
      <c r="F1123" s="41"/>
      <c r="G1123" s="41">
        <v>0</v>
      </c>
      <c r="H1123" s="41"/>
      <c r="I1123" s="122"/>
    </row>
    <row r="1124" spans="1:9" ht="21" customHeight="1">
      <c r="A1124" s="77" t="s">
        <v>240</v>
      </c>
      <c r="B1124" s="36" t="s">
        <v>70</v>
      </c>
      <c r="C1124" s="8" t="s">
        <v>356</v>
      </c>
      <c r="D1124" s="8"/>
      <c r="E1124" s="37">
        <f>E1125+E1128</f>
        <v>2500</v>
      </c>
      <c r="F1124" s="37">
        <f>F1125+F1128</f>
        <v>1750</v>
      </c>
      <c r="G1124" s="37">
        <f>G1125+G1128</f>
        <v>1721.1999999999998</v>
      </c>
      <c r="H1124" s="37">
        <f>H1125+H1128</f>
        <v>1204.8</v>
      </c>
      <c r="I1124" s="122"/>
    </row>
    <row r="1125" spans="1:9" ht="123" customHeight="1">
      <c r="A1125" s="39" t="s">
        <v>510</v>
      </c>
      <c r="B1125" s="36" t="s">
        <v>70</v>
      </c>
      <c r="C1125" s="8" t="s">
        <v>512</v>
      </c>
      <c r="D1125" s="8"/>
      <c r="E1125" s="37">
        <f aca="true" t="shared" si="71" ref="E1125:H1126">E1126</f>
        <v>1750</v>
      </c>
      <c r="F1125" s="37">
        <f t="shared" si="71"/>
        <v>1750</v>
      </c>
      <c r="G1125" s="37">
        <f t="shared" si="71"/>
        <v>1204.8</v>
      </c>
      <c r="H1125" s="37">
        <f t="shared" si="71"/>
        <v>1204.8</v>
      </c>
      <c r="I1125" s="122"/>
    </row>
    <row r="1126" spans="1:9" ht="33.75" customHeight="1">
      <c r="A1126" s="57" t="s">
        <v>328</v>
      </c>
      <c r="B1126" s="36" t="s">
        <v>70</v>
      </c>
      <c r="C1126" s="8" t="s">
        <v>512</v>
      </c>
      <c r="D1126" s="8" t="s">
        <v>327</v>
      </c>
      <c r="E1126" s="37">
        <f t="shared" si="71"/>
        <v>1750</v>
      </c>
      <c r="F1126" s="37">
        <f t="shared" si="71"/>
        <v>1750</v>
      </c>
      <c r="G1126" s="37">
        <f t="shared" si="71"/>
        <v>1204.8</v>
      </c>
      <c r="H1126" s="37">
        <f t="shared" si="71"/>
        <v>1204.8</v>
      </c>
      <c r="I1126" s="122"/>
    </row>
    <row r="1127" spans="1:9" ht="21.75" customHeight="1">
      <c r="A1127" s="57" t="s">
        <v>326</v>
      </c>
      <c r="B1127" s="36" t="s">
        <v>70</v>
      </c>
      <c r="C1127" s="8" t="s">
        <v>512</v>
      </c>
      <c r="D1127" s="8" t="s">
        <v>325</v>
      </c>
      <c r="E1127" s="37">
        <f>1750</f>
        <v>1750</v>
      </c>
      <c r="F1127" s="37">
        <f>1750</f>
        <v>1750</v>
      </c>
      <c r="G1127" s="37">
        <v>1204.8</v>
      </c>
      <c r="H1127" s="37">
        <v>1204.8</v>
      </c>
      <c r="I1127" s="122"/>
    </row>
    <row r="1128" spans="1:9" ht="126" customHeight="1">
      <c r="A1128" s="39" t="s">
        <v>509</v>
      </c>
      <c r="B1128" s="36" t="s">
        <v>70</v>
      </c>
      <c r="C1128" s="8" t="s">
        <v>512</v>
      </c>
      <c r="D1128" s="8"/>
      <c r="E1128" s="37">
        <f>E1129</f>
        <v>750</v>
      </c>
      <c r="F1128" s="37">
        <f>F1129</f>
        <v>0</v>
      </c>
      <c r="G1128" s="37">
        <f>G1129</f>
        <v>516.4</v>
      </c>
      <c r="H1128" s="37">
        <f>H1129</f>
        <v>0</v>
      </c>
      <c r="I1128" s="122"/>
    </row>
    <row r="1129" spans="1:9" ht="30.75" customHeight="1">
      <c r="A1129" s="57" t="s">
        <v>328</v>
      </c>
      <c r="B1129" s="36" t="s">
        <v>70</v>
      </c>
      <c r="C1129" s="8" t="s">
        <v>512</v>
      </c>
      <c r="D1129" s="8" t="s">
        <v>327</v>
      </c>
      <c r="E1129" s="37">
        <f>E1130</f>
        <v>750</v>
      </c>
      <c r="F1129" s="37"/>
      <c r="G1129" s="37">
        <f>G1130</f>
        <v>516.4</v>
      </c>
      <c r="H1129" s="37"/>
      <c r="I1129" s="122"/>
    </row>
    <row r="1130" spans="1:9" ht="19.5" customHeight="1">
      <c r="A1130" s="57" t="s">
        <v>326</v>
      </c>
      <c r="B1130" s="36" t="s">
        <v>70</v>
      </c>
      <c r="C1130" s="8" t="s">
        <v>512</v>
      </c>
      <c r="D1130" s="8" t="s">
        <v>325</v>
      </c>
      <c r="E1130" s="37">
        <f>398+352</f>
        <v>750</v>
      </c>
      <c r="F1130" s="37"/>
      <c r="G1130" s="37">
        <v>516.4</v>
      </c>
      <c r="H1130" s="37"/>
      <c r="I1130" s="122"/>
    </row>
    <row r="1131" spans="1:9" ht="19.5" customHeight="1">
      <c r="A1131" s="19" t="s">
        <v>620</v>
      </c>
      <c r="B1131" s="17" t="s">
        <v>621</v>
      </c>
      <c r="C1131" s="17"/>
      <c r="D1131" s="17"/>
      <c r="E1131" s="18">
        <f>E1132</f>
        <v>3749.8999999999996</v>
      </c>
      <c r="F1131" s="18">
        <f>F1132</f>
        <v>2898.7</v>
      </c>
      <c r="G1131" s="18">
        <f>G1132</f>
        <v>3749.8999999999996</v>
      </c>
      <c r="H1131" s="18">
        <f>H1132</f>
        <v>2898.7</v>
      </c>
      <c r="I1131" s="16">
        <f>G1131/E1131*100</f>
        <v>100</v>
      </c>
    </row>
    <row r="1132" spans="1:9" ht="33.75" customHeight="1">
      <c r="A1132" s="57" t="s">
        <v>622</v>
      </c>
      <c r="B1132" s="36" t="s">
        <v>621</v>
      </c>
      <c r="C1132" s="8" t="s">
        <v>623</v>
      </c>
      <c r="D1132" s="8"/>
      <c r="E1132" s="37">
        <f>E1136+E1133</f>
        <v>3749.8999999999996</v>
      </c>
      <c r="F1132" s="37">
        <f>F1136+F1133</f>
        <v>2898.7</v>
      </c>
      <c r="G1132" s="37">
        <f>G1136+G1133</f>
        <v>3749.8999999999996</v>
      </c>
      <c r="H1132" s="37">
        <f>H1136+H1133</f>
        <v>2898.7</v>
      </c>
      <c r="I1132" s="122"/>
    </row>
    <row r="1133" spans="1:9" ht="48.75" customHeight="1">
      <c r="A1133" s="33" t="s">
        <v>691</v>
      </c>
      <c r="B1133" s="36" t="s">
        <v>621</v>
      </c>
      <c r="C1133" s="8" t="s">
        <v>692</v>
      </c>
      <c r="D1133" s="8"/>
      <c r="E1133" s="37">
        <f aca="true" t="shared" si="72" ref="E1133:H1134">E1134</f>
        <v>2898.7</v>
      </c>
      <c r="F1133" s="37">
        <f t="shared" si="72"/>
        <v>2898.7</v>
      </c>
      <c r="G1133" s="37">
        <f t="shared" si="72"/>
        <v>2898.7</v>
      </c>
      <c r="H1133" s="37">
        <f t="shared" si="72"/>
        <v>2898.7</v>
      </c>
      <c r="I1133" s="122"/>
    </row>
    <row r="1134" spans="1:9" ht="33.75" customHeight="1">
      <c r="A1134" s="57" t="s">
        <v>328</v>
      </c>
      <c r="B1134" s="36" t="s">
        <v>621</v>
      </c>
      <c r="C1134" s="8" t="s">
        <v>692</v>
      </c>
      <c r="D1134" s="8" t="s">
        <v>327</v>
      </c>
      <c r="E1134" s="37">
        <f t="shared" si="72"/>
        <v>2898.7</v>
      </c>
      <c r="F1134" s="37">
        <f t="shared" si="72"/>
        <v>2898.7</v>
      </c>
      <c r="G1134" s="37">
        <f t="shared" si="72"/>
        <v>2898.7</v>
      </c>
      <c r="H1134" s="37">
        <f t="shared" si="72"/>
        <v>2898.7</v>
      </c>
      <c r="I1134" s="122"/>
    </row>
    <row r="1135" spans="1:9" ht="18" customHeight="1">
      <c r="A1135" s="57" t="s">
        <v>326</v>
      </c>
      <c r="B1135" s="36" t="s">
        <v>621</v>
      </c>
      <c r="C1135" s="8" t="s">
        <v>692</v>
      </c>
      <c r="D1135" s="8" t="s">
        <v>325</v>
      </c>
      <c r="E1135" s="37">
        <f>3865-966.3</f>
        <v>2898.7</v>
      </c>
      <c r="F1135" s="37">
        <f>E1135</f>
        <v>2898.7</v>
      </c>
      <c r="G1135" s="37">
        <v>2898.7</v>
      </c>
      <c r="H1135" s="37">
        <f>G1135</f>
        <v>2898.7</v>
      </c>
      <c r="I1135" s="122"/>
    </row>
    <row r="1136" spans="1:9" ht="63.75" customHeight="1">
      <c r="A1136" s="33" t="s">
        <v>624</v>
      </c>
      <c r="B1136" s="36" t="s">
        <v>621</v>
      </c>
      <c r="C1136" s="8" t="s">
        <v>692</v>
      </c>
      <c r="D1136" s="8"/>
      <c r="E1136" s="37">
        <f>E1137</f>
        <v>851.2</v>
      </c>
      <c r="F1136" s="37"/>
      <c r="G1136" s="37">
        <f>G1137</f>
        <v>851.2</v>
      </c>
      <c r="H1136" s="37"/>
      <c r="I1136" s="122"/>
    </row>
    <row r="1137" spans="1:9" ht="33" customHeight="1">
      <c r="A1137" s="57" t="s">
        <v>328</v>
      </c>
      <c r="B1137" s="36" t="s">
        <v>621</v>
      </c>
      <c r="C1137" s="8" t="s">
        <v>692</v>
      </c>
      <c r="D1137" s="8" t="s">
        <v>327</v>
      </c>
      <c r="E1137" s="37">
        <f>E1138</f>
        <v>851.2</v>
      </c>
      <c r="F1137" s="37"/>
      <c r="G1137" s="37">
        <f>G1138</f>
        <v>851.2</v>
      </c>
      <c r="H1137" s="37"/>
      <c r="I1137" s="122"/>
    </row>
    <row r="1138" spans="1:9" ht="19.5" customHeight="1">
      <c r="A1138" s="57" t="s">
        <v>326</v>
      </c>
      <c r="B1138" s="36" t="s">
        <v>621</v>
      </c>
      <c r="C1138" s="8" t="s">
        <v>692</v>
      </c>
      <c r="D1138" s="8" t="s">
        <v>325</v>
      </c>
      <c r="E1138" s="37">
        <f>1135-283.8</f>
        <v>851.2</v>
      </c>
      <c r="F1138" s="37"/>
      <c r="G1138" s="37">
        <v>851.2</v>
      </c>
      <c r="H1138" s="37"/>
      <c r="I1138" s="122"/>
    </row>
    <row r="1139" spans="1:9" s="3" customFormat="1" ht="18" customHeight="1">
      <c r="A1139" s="19" t="s">
        <v>71</v>
      </c>
      <c r="B1139" s="17" t="s">
        <v>72</v>
      </c>
      <c r="C1139" s="17"/>
      <c r="D1139" s="17"/>
      <c r="E1139" s="18">
        <f>E1140</f>
        <v>54195</v>
      </c>
      <c r="F1139" s="18">
        <f>F1140</f>
        <v>1370</v>
      </c>
      <c r="G1139" s="18">
        <f>G1140</f>
        <v>54185.2</v>
      </c>
      <c r="H1139" s="18">
        <f>H1140</f>
        <v>1370</v>
      </c>
      <c r="I1139" s="18">
        <f>G1139/E1139*100</f>
        <v>99.98191715102868</v>
      </c>
    </row>
    <row r="1140" spans="1:9" ht="62.25" customHeight="1">
      <c r="A1140" s="65" t="s">
        <v>267</v>
      </c>
      <c r="B1140" s="34" t="s">
        <v>72</v>
      </c>
      <c r="C1140" s="34" t="s">
        <v>338</v>
      </c>
      <c r="D1140" s="34"/>
      <c r="E1140" s="37">
        <f>E1141+E1148+E1157</f>
        <v>54195</v>
      </c>
      <c r="F1140" s="37">
        <f>F1141+F1148+F1157</f>
        <v>1370</v>
      </c>
      <c r="G1140" s="37">
        <f>G1141+G1148+G1157</f>
        <v>54185.2</v>
      </c>
      <c r="H1140" s="37">
        <f>H1141+H1148+H1157</f>
        <v>1370</v>
      </c>
      <c r="I1140" s="122"/>
    </row>
    <row r="1141" spans="1:9" ht="18.75" customHeight="1">
      <c r="A1141" s="56" t="s">
        <v>102</v>
      </c>
      <c r="B1141" s="62" t="s">
        <v>73</v>
      </c>
      <c r="C1141" s="62"/>
      <c r="D1141" s="62"/>
      <c r="E1141" s="11">
        <f>E1145+E1142</f>
        <v>32425</v>
      </c>
      <c r="F1141" s="11">
        <f>F1145+F1142</f>
        <v>900</v>
      </c>
      <c r="G1141" s="11">
        <f>G1145+G1142</f>
        <v>32425</v>
      </c>
      <c r="H1141" s="11">
        <f>H1145+H1142</f>
        <v>900</v>
      </c>
      <c r="I1141" s="16">
        <f>G1141/E1141*100</f>
        <v>100</v>
      </c>
    </row>
    <row r="1142" spans="1:9" ht="45.75" customHeight="1">
      <c r="A1142" s="48" t="s">
        <v>617</v>
      </c>
      <c r="B1142" s="35" t="s">
        <v>73</v>
      </c>
      <c r="C1142" s="36" t="s">
        <v>660</v>
      </c>
      <c r="D1142" s="34"/>
      <c r="E1142" s="41">
        <f aca="true" t="shared" si="73" ref="E1142:H1143">E1143</f>
        <v>900</v>
      </c>
      <c r="F1142" s="41">
        <f t="shared" si="73"/>
        <v>900</v>
      </c>
      <c r="G1142" s="41">
        <f t="shared" si="73"/>
        <v>900</v>
      </c>
      <c r="H1142" s="41">
        <f t="shared" si="73"/>
        <v>900</v>
      </c>
      <c r="I1142" s="122"/>
    </row>
    <row r="1143" spans="1:9" ht="31.5" customHeight="1">
      <c r="A1143" s="33" t="s">
        <v>328</v>
      </c>
      <c r="B1143" s="35" t="s">
        <v>73</v>
      </c>
      <c r="C1143" s="36" t="s">
        <v>660</v>
      </c>
      <c r="D1143" s="34" t="s">
        <v>327</v>
      </c>
      <c r="E1143" s="41">
        <f t="shared" si="73"/>
        <v>900</v>
      </c>
      <c r="F1143" s="41">
        <f t="shared" si="73"/>
        <v>900</v>
      </c>
      <c r="G1143" s="41">
        <f t="shared" si="73"/>
        <v>900</v>
      </c>
      <c r="H1143" s="41">
        <f t="shared" si="73"/>
        <v>900</v>
      </c>
      <c r="I1143" s="122"/>
    </row>
    <row r="1144" spans="1:9" ht="19.5" customHeight="1">
      <c r="A1144" s="40" t="s">
        <v>331</v>
      </c>
      <c r="B1144" s="35" t="s">
        <v>73</v>
      </c>
      <c r="C1144" s="36" t="s">
        <v>660</v>
      </c>
      <c r="D1144" s="34" t="s">
        <v>330</v>
      </c>
      <c r="E1144" s="41">
        <f>500+400</f>
        <v>900</v>
      </c>
      <c r="F1144" s="41">
        <f>E1144</f>
        <v>900</v>
      </c>
      <c r="G1144" s="41">
        <v>900</v>
      </c>
      <c r="H1144" s="41">
        <f>G1144</f>
        <v>900</v>
      </c>
      <c r="I1144" s="122"/>
    </row>
    <row r="1145" spans="1:9" ht="30" customHeight="1">
      <c r="A1145" s="38" t="s">
        <v>160</v>
      </c>
      <c r="B1145" s="35" t="s">
        <v>73</v>
      </c>
      <c r="C1145" s="35" t="s">
        <v>339</v>
      </c>
      <c r="D1145" s="35"/>
      <c r="E1145" s="37">
        <f>E1146</f>
        <v>31525</v>
      </c>
      <c r="F1145" s="37"/>
      <c r="G1145" s="37">
        <f>G1146</f>
        <v>31525</v>
      </c>
      <c r="H1145" s="37"/>
      <c r="I1145" s="122"/>
    </row>
    <row r="1146" spans="1:9" ht="21" customHeight="1">
      <c r="A1146" s="43" t="s">
        <v>170</v>
      </c>
      <c r="B1146" s="34" t="s">
        <v>73</v>
      </c>
      <c r="C1146" s="35" t="s">
        <v>339</v>
      </c>
      <c r="D1146" s="34" t="s">
        <v>169</v>
      </c>
      <c r="E1146" s="37">
        <f>E1147</f>
        <v>31525</v>
      </c>
      <c r="F1146" s="37"/>
      <c r="G1146" s="37">
        <f>G1147</f>
        <v>31525</v>
      </c>
      <c r="H1146" s="37"/>
      <c r="I1146" s="122"/>
    </row>
    <row r="1147" spans="1:9" ht="30.75" customHeight="1">
      <c r="A1147" s="43" t="s">
        <v>172</v>
      </c>
      <c r="B1147" s="35" t="s">
        <v>73</v>
      </c>
      <c r="C1147" s="35" t="s">
        <v>339</v>
      </c>
      <c r="D1147" s="35" t="s">
        <v>171</v>
      </c>
      <c r="E1147" s="37">
        <f>16000+525+15000</f>
        <v>31525</v>
      </c>
      <c r="F1147" s="37"/>
      <c r="G1147" s="37">
        <v>31525</v>
      </c>
      <c r="H1147" s="37"/>
      <c r="I1147" s="122"/>
    </row>
    <row r="1148" spans="1:9" ht="18" customHeight="1">
      <c r="A1148" s="56" t="s">
        <v>103</v>
      </c>
      <c r="B1148" s="62" t="s">
        <v>74</v>
      </c>
      <c r="C1148" s="62"/>
      <c r="D1148" s="62"/>
      <c r="E1148" s="11">
        <f>E1152+E1149</f>
        <v>19970</v>
      </c>
      <c r="F1148" s="11">
        <f>F1152+F1149</f>
        <v>470</v>
      </c>
      <c r="G1148" s="11">
        <f>G1152+G1149</f>
        <v>19962.2</v>
      </c>
      <c r="H1148" s="11">
        <f>H1152+H1149</f>
        <v>470</v>
      </c>
      <c r="I1148" s="16">
        <f>G1148/E1148*100</f>
        <v>99.96094141211817</v>
      </c>
    </row>
    <row r="1149" spans="1:9" ht="45.75" customHeight="1">
      <c r="A1149" s="48" t="s">
        <v>617</v>
      </c>
      <c r="B1149" s="34" t="s">
        <v>74</v>
      </c>
      <c r="C1149" s="36" t="s">
        <v>660</v>
      </c>
      <c r="D1149" s="34"/>
      <c r="E1149" s="41">
        <f aca="true" t="shared" si="74" ref="E1149:H1150">E1150</f>
        <v>470</v>
      </c>
      <c r="F1149" s="41">
        <f t="shared" si="74"/>
        <v>470</v>
      </c>
      <c r="G1149" s="41">
        <f t="shared" si="74"/>
        <v>470</v>
      </c>
      <c r="H1149" s="41">
        <f t="shared" si="74"/>
        <v>470</v>
      </c>
      <c r="I1149" s="122"/>
    </row>
    <row r="1150" spans="1:9" ht="31.5" customHeight="1">
      <c r="A1150" s="33" t="s">
        <v>328</v>
      </c>
      <c r="B1150" s="34" t="s">
        <v>74</v>
      </c>
      <c r="C1150" s="36" t="s">
        <v>660</v>
      </c>
      <c r="D1150" s="34" t="s">
        <v>327</v>
      </c>
      <c r="E1150" s="41">
        <f t="shared" si="74"/>
        <v>470</v>
      </c>
      <c r="F1150" s="41">
        <f t="shared" si="74"/>
        <v>470</v>
      </c>
      <c r="G1150" s="41">
        <f t="shared" si="74"/>
        <v>470</v>
      </c>
      <c r="H1150" s="41">
        <f t="shared" si="74"/>
        <v>470</v>
      </c>
      <c r="I1150" s="122"/>
    </row>
    <row r="1151" spans="1:9" ht="18" customHeight="1">
      <c r="A1151" s="40" t="s">
        <v>331</v>
      </c>
      <c r="B1151" s="34" t="s">
        <v>74</v>
      </c>
      <c r="C1151" s="36" t="s">
        <v>660</v>
      </c>
      <c r="D1151" s="34" t="s">
        <v>330</v>
      </c>
      <c r="E1151" s="41">
        <f>300+170</f>
        <v>470</v>
      </c>
      <c r="F1151" s="41">
        <f>E1151</f>
        <v>470</v>
      </c>
      <c r="G1151" s="41">
        <v>470</v>
      </c>
      <c r="H1151" s="41">
        <f>G1151</f>
        <v>470</v>
      </c>
      <c r="I1151" s="122"/>
    </row>
    <row r="1152" spans="1:9" ht="20.25" customHeight="1">
      <c r="A1152" s="48" t="s">
        <v>161</v>
      </c>
      <c r="B1152" s="34" t="s">
        <v>74</v>
      </c>
      <c r="C1152" s="35" t="s">
        <v>339</v>
      </c>
      <c r="D1152" s="34"/>
      <c r="E1152" s="37">
        <f>E1153+E1155</f>
        <v>19500</v>
      </c>
      <c r="F1152" s="37"/>
      <c r="G1152" s="37">
        <f>G1153+G1155</f>
        <v>19492.2</v>
      </c>
      <c r="H1152" s="37"/>
      <c r="I1152" s="122"/>
    </row>
    <row r="1153" spans="1:9" ht="33.75" customHeight="1">
      <c r="A1153" s="33" t="s">
        <v>328</v>
      </c>
      <c r="B1153" s="35" t="s">
        <v>74</v>
      </c>
      <c r="C1153" s="35" t="s">
        <v>339</v>
      </c>
      <c r="D1153" s="35" t="s">
        <v>327</v>
      </c>
      <c r="E1153" s="37">
        <f>E1154</f>
        <v>17000</v>
      </c>
      <c r="F1153" s="37"/>
      <c r="G1153" s="37">
        <f>G1154</f>
        <v>17000</v>
      </c>
      <c r="H1153" s="37"/>
      <c r="I1153" s="122"/>
    </row>
    <row r="1154" spans="1:9" ht="24" customHeight="1">
      <c r="A1154" s="40" t="s">
        <v>331</v>
      </c>
      <c r="B1154" s="35" t="s">
        <v>74</v>
      </c>
      <c r="C1154" s="35" t="s">
        <v>339</v>
      </c>
      <c r="D1154" s="35" t="s">
        <v>330</v>
      </c>
      <c r="E1154" s="37">
        <f>12000+5000</f>
        <v>17000</v>
      </c>
      <c r="F1154" s="37"/>
      <c r="G1154" s="37">
        <v>17000</v>
      </c>
      <c r="H1154" s="37"/>
      <c r="I1154" s="122"/>
    </row>
    <row r="1155" spans="1:9" ht="18.75" customHeight="1">
      <c r="A1155" s="43" t="s">
        <v>170</v>
      </c>
      <c r="B1155" s="35" t="s">
        <v>74</v>
      </c>
      <c r="C1155" s="35" t="s">
        <v>339</v>
      </c>
      <c r="D1155" s="35" t="s">
        <v>169</v>
      </c>
      <c r="E1155" s="37">
        <f>E1156</f>
        <v>2500</v>
      </c>
      <c r="F1155" s="37"/>
      <c r="G1155" s="37">
        <f>G1156</f>
        <v>2492.2</v>
      </c>
      <c r="H1155" s="37"/>
      <c r="I1155" s="122"/>
    </row>
    <row r="1156" spans="1:9" ht="33" customHeight="1">
      <c r="A1156" s="43" t="s">
        <v>172</v>
      </c>
      <c r="B1156" s="35" t="s">
        <v>74</v>
      </c>
      <c r="C1156" s="35" t="s">
        <v>339</v>
      </c>
      <c r="D1156" s="35" t="s">
        <v>171</v>
      </c>
      <c r="E1156" s="37">
        <f>1000+1500</f>
        <v>2500</v>
      </c>
      <c r="F1156" s="37"/>
      <c r="G1156" s="37">
        <v>2492.2</v>
      </c>
      <c r="H1156" s="37"/>
      <c r="I1156" s="122"/>
    </row>
    <row r="1157" spans="1:9" ht="29.25" customHeight="1">
      <c r="A1157" s="56" t="s">
        <v>242</v>
      </c>
      <c r="B1157" s="62" t="s">
        <v>243</v>
      </c>
      <c r="C1157" s="62"/>
      <c r="D1157" s="62"/>
      <c r="E1157" s="11">
        <f>E1161+E1158</f>
        <v>1800</v>
      </c>
      <c r="F1157" s="37"/>
      <c r="G1157" s="11">
        <f>G1161+G1158</f>
        <v>1798</v>
      </c>
      <c r="H1157" s="37"/>
      <c r="I1157" s="16">
        <f>G1157/E1157*100</f>
        <v>99.8888888888889</v>
      </c>
    </row>
    <row r="1158" spans="1:9" ht="19.5" customHeight="1">
      <c r="A1158" s="55" t="s">
        <v>413</v>
      </c>
      <c r="B1158" s="34" t="s">
        <v>243</v>
      </c>
      <c r="C1158" s="34" t="s">
        <v>318</v>
      </c>
      <c r="D1158" s="62"/>
      <c r="E1158" s="37">
        <f>E1159</f>
        <v>800</v>
      </c>
      <c r="F1158" s="37"/>
      <c r="G1158" s="37">
        <f>G1159</f>
        <v>799</v>
      </c>
      <c r="H1158" s="37"/>
      <c r="I1158" s="122"/>
    </row>
    <row r="1159" spans="1:9" ht="23.25" customHeight="1">
      <c r="A1159" s="55" t="s">
        <v>170</v>
      </c>
      <c r="B1159" s="34" t="s">
        <v>243</v>
      </c>
      <c r="C1159" s="34" t="s">
        <v>318</v>
      </c>
      <c r="D1159" s="34" t="s">
        <v>169</v>
      </c>
      <c r="E1159" s="37">
        <f>E1160</f>
        <v>800</v>
      </c>
      <c r="F1159" s="37"/>
      <c r="G1159" s="37">
        <f>G1160</f>
        <v>799</v>
      </c>
      <c r="H1159" s="37"/>
      <c r="I1159" s="122"/>
    </row>
    <row r="1160" spans="1:9" ht="33" customHeight="1">
      <c r="A1160" s="55" t="s">
        <v>172</v>
      </c>
      <c r="B1160" s="34" t="s">
        <v>243</v>
      </c>
      <c r="C1160" s="34" t="s">
        <v>318</v>
      </c>
      <c r="D1160" s="34" t="s">
        <v>171</v>
      </c>
      <c r="E1160" s="37">
        <f>800</f>
        <v>800</v>
      </c>
      <c r="F1160" s="37"/>
      <c r="G1160" s="37">
        <v>799</v>
      </c>
      <c r="H1160" s="37"/>
      <c r="I1160" s="122"/>
    </row>
    <row r="1161" spans="1:9" ht="24" customHeight="1">
      <c r="A1161" s="55" t="s">
        <v>242</v>
      </c>
      <c r="B1161" s="34" t="s">
        <v>243</v>
      </c>
      <c r="C1161" s="34" t="s">
        <v>414</v>
      </c>
      <c r="D1161" s="62"/>
      <c r="E1161" s="37">
        <f>E1162</f>
        <v>1000</v>
      </c>
      <c r="F1161" s="37"/>
      <c r="G1161" s="37">
        <f>G1162</f>
        <v>999</v>
      </c>
      <c r="H1161" s="37"/>
      <c r="I1161" s="122"/>
    </row>
    <row r="1162" spans="1:9" ht="21" customHeight="1">
      <c r="A1162" s="55" t="s">
        <v>170</v>
      </c>
      <c r="B1162" s="34" t="s">
        <v>243</v>
      </c>
      <c r="C1162" s="34" t="s">
        <v>414</v>
      </c>
      <c r="D1162" s="34" t="s">
        <v>169</v>
      </c>
      <c r="E1162" s="37">
        <f>E1163</f>
        <v>1000</v>
      </c>
      <c r="F1162" s="37"/>
      <c r="G1162" s="37">
        <f>G1163</f>
        <v>999</v>
      </c>
      <c r="H1162" s="37"/>
      <c r="I1162" s="122"/>
    </row>
    <row r="1163" spans="1:9" ht="31.5" customHeight="1">
      <c r="A1163" s="55" t="s">
        <v>172</v>
      </c>
      <c r="B1163" s="34" t="s">
        <v>243</v>
      </c>
      <c r="C1163" s="34" t="s">
        <v>414</v>
      </c>
      <c r="D1163" s="34" t="s">
        <v>171</v>
      </c>
      <c r="E1163" s="37">
        <f>1000</f>
        <v>1000</v>
      </c>
      <c r="F1163" s="37"/>
      <c r="G1163" s="37">
        <v>999</v>
      </c>
      <c r="H1163" s="37"/>
      <c r="I1163" s="122"/>
    </row>
    <row r="1164" spans="1:9" ht="33" customHeight="1">
      <c r="A1164" s="20" t="s">
        <v>110</v>
      </c>
      <c r="B1164" s="26" t="s">
        <v>75</v>
      </c>
      <c r="C1164" s="26"/>
      <c r="D1164" s="26"/>
      <c r="E1164" s="28">
        <f>E1165</f>
        <v>15917.099999999999</v>
      </c>
      <c r="F1164" s="18"/>
      <c r="G1164" s="28">
        <f>G1165</f>
        <v>7387.9</v>
      </c>
      <c r="H1164" s="18"/>
      <c r="I1164" s="28">
        <f>G1164/E1164*100</f>
        <v>46.414862003756966</v>
      </c>
    </row>
    <row r="1165" spans="1:9" ht="33" customHeight="1">
      <c r="A1165" s="48" t="s">
        <v>40</v>
      </c>
      <c r="B1165" s="89" t="s">
        <v>76</v>
      </c>
      <c r="C1165" s="26"/>
      <c r="D1165" s="26"/>
      <c r="E1165" s="94">
        <f>E1166</f>
        <v>15917.099999999999</v>
      </c>
      <c r="F1165" s="95"/>
      <c r="G1165" s="94">
        <f>G1166</f>
        <v>7387.9</v>
      </c>
      <c r="H1165" s="95"/>
      <c r="I1165" s="28">
        <f>G1165/E1165*100</f>
        <v>46.414862003756966</v>
      </c>
    </row>
    <row r="1166" spans="1:9" ht="21.75" customHeight="1">
      <c r="A1166" s="57" t="s">
        <v>238</v>
      </c>
      <c r="B1166" s="36" t="s">
        <v>76</v>
      </c>
      <c r="C1166" s="34" t="s">
        <v>20</v>
      </c>
      <c r="D1166" s="36"/>
      <c r="E1166" s="37">
        <f>E1167</f>
        <v>15917.099999999999</v>
      </c>
      <c r="F1166" s="37"/>
      <c r="G1166" s="37">
        <f>G1167</f>
        <v>7387.9</v>
      </c>
      <c r="H1166" s="37"/>
      <c r="I1166" s="122"/>
    </row>
    <row r="1167" spans="1:9" ht="24.75" customHeight="1">
      <c r="A1167" s="38" t="s">
        <v>9</v>
      </c>
      <c r="B1167" s="36" t="s">
        <v>76</v>
      </c>
      <c r="C1167" s="35" t="s">
        <v>187</v>
      </c>
      <c r="D1167" s="36"/>
      <c r="E1167" s="37">
        <f>E1169</f>
        <v>15917.099999999999</v>
      </c>
      <c r="F1167" s="37"/>
      <c r="G1167" s="37">
        <f>G1169</f>
        <v>7387.9</v>
      </c>
      <c r="H1167" s="37"/>
      <c r="I1167" s="122"/>
    </row>
    <row r="1168" spans="1:9" ht="19.5" customHeight="1">
      <c r="A1168" s="48" t="s">
        <v>108</v>
      </c>
      <c r="B1168" s="36" t="s">
        <v>76</v>
      </c>
      <c r="C1168" s="34" t="s">
        <v>188</v>
      </c>
      <c r="D1168" s="36"/>
      <c r="E1168" s="37">
        <f>E1169</f>
        <v>15917.099999999999</v>
      </c>
      <c r="F1168" s="37"/>
      <c r="G1168" s="37">
        <f>G1169</f>
        <v>7387.9</v>
      </c>
      <c r="H1168" s="37"/>
      <c r="I1168" s="122"/>
    </row>
    <row r="1169" spans="1:9" ht="27" customHeight="1">
      <c r="A1169" s="38" t="s">
        <v>81</v>
      </c>
      <c r="B1169" s="36" t="s">
        <v>76</v>
      </c>
      <c r="C1169" s="34" t="s">
        <v>188</v>
      </c>
      <c r="D1169" s="36" t="s">
        <v>391</v>
      </c>
      <c r="E1169" s="37">
        <f>E1170</f>
        <v>15917.099999999999</v>
      </c>
      <c r="F1169" s="37"/>
      <c r="G1169" s="37">
        <f>G1170</f>
        <v>7387.9</v>
      </c>
      <c r="H1169" s="37"/>
      <c r="I1169" s="122"/>
    </row>
    <row r="1170" spans="1:9" ht="18.75" customHeight="1">
      <c r="A1170" s="48" t="s">
        <v>81</v>
      </c>
      <c r="B1170" s="36" t="s">
        <v>76</v>
      </c>
      <c r="C1170" s="34" t="s">
        <v>188</v>
      </c>
      <c r="D1170" s="36" t="s">
        <v>46</v>
      </c>
      <c r="E1170" s="37">
        <f>40910-20000-533.8-3528.9-80.7-116.2-440-293.3</f>
        <v>15917.099999999999</v>
      </c>
      <c r="F1170" s="37"/>
      <c r="G1170" s="37">
        <v>7387.9</v>
      </c>
      <c r="H1170" s="37"/>
      <c r="I1170" s="122"/>
    </row>
    <row r="1171" spans="1:9" ht="48" customHeight="1">
      <c r="A1171" s="19" t="s">
        <v>398</v>
      </c>
      <c r="B1171" s="17" t="s">
        <v>151</v>
      </c>
      <c r="C1171" s="17"/>
      <c r="D1171" s="17"/>
      <c r="E1171" s="18">
        <f>E1172</f>
        <v>13295</v>
      </c>
      <c r="F1171" s="18">
        <f>F1172</f>
        <v>9412.9</v>
      </c>
      <c r="G1171" s="18">
        <f>G1172</f>
        <v>13295</v>
      </c>
      <c r="H1171" s="18">
        <f>H1172</f>
        <v>9412.9</v>
      </c>
      <c r="I1171" s="18">
        <f>G1171/E1171*100</f>
        <v>100</v>
      </c>
    </row>
    <row r="1172" spans="1:9" ht="32.25" customHeight="1">
      <c r="A1172" s="56" t="s">
        <v>67</v>
      </c>
      <c r="B1172" s="60" t="s">
        <v>152</v>
      </c>
      <c r="C1172" s="60"/>
      <c r="D1172" s="60"/>
      <c r="E1172" s="11">
        <f>E1173+E1176+E1179+E1182+E1185+E1188</f>
        <v>13295</v>
      </c>
      <c r="F1172" s="11">
        <f>F1173+F1176+F1179</f>
        <v>9412.9</v>
      </c>
      <c r="G1172" s="11">
        <f>G1173+G1176+G1179+G1182+G1185+G1188</f>
        <v>13295</v>
      </c>
      <c r="H1172" s="11">
        <f>H1173+H1176+H1179</f>
        <v>9412.9</v>
      </c>
      <c r="I1172" s="18">
        <f>G1172/E1172*100</f>
        <v>100</v>
      </c>
    </row>
    <row r="1173" spans="1:9" ht="167.25" customHeight="1">
      <c r="A1173" s="69" t="s">
        <v>270</v>
      </c>
      <c r="B1173" s="8" t="s">
        <v>152</v>
      </c>
      <c r="C1173" s="8" t="s">
        <v>420</v>
      </c>
      <c r="D1173" s="91"/>
      <c r="E1173" s="92">
        <f aca="true" t="shared" si="75" ref="E1173:H1174">E1174</f>
        <v>8987</v>
      </c>
      <c r="F1173" s="92">
        <f t="shared" si="75"/>
        <v>8987</v>
      </c>
      <c r="G1173" s="92">
        <f t="shared" si="75"/>
        <v>8987</v>
      </c>
      <c r="H1173" s="92">
        <f t="shared" si="75"/>
        <v>8987</v>
      </c>
      <c r="I1173" s="122"/>
    </row>
    <row r="1174" spans="1:9" ht="23.25" customHeight="1">
      <c r="A1174" s="90" t="s">
        <v>393</v>
      </c>
      <c r="B1174" s="8" t="s">
        <v>152</v>
      </c>
      <c r="C1174" s="8" t="s">
        <v>420</v>
      </c>
      <c r="D1174" s="91" t="s">
        <v>392</v>
      </c>
      <c r="E1174" s="92">
        <f t="shared" si="75"/>
        <v>8987</v>
      </c>
      <c r="F1174" s="92">
        <f t="shared" si="75"/>
        <v>8987</v>
      </c>
      <c r="G1174" s="92">
        <f t="shared" si="75"/>
        <v>8987</v>
      </c>
      <c r="H1174" s="92">
        <f t="shared" si="75"/>
        <v>8987</v>
      </c>
      <c r="I1174" s="122"/>
    </row>
    <row r="1175" spans="1:9" ht="22.5" customHeight="1">
      <c r="A1175" s="90" t="s">
        <v>44</v>
      </c>
      <c r="B1175" s="8" t="s">
        <v>152</v>
      </c>
      <c r="C1175" s="8" t="s">
        <v>420</v>
      </c>
      <c r="D1175" s="91" t="s">
        <v>158</v>
      </c>
      <c r="E1175" s="92">
        <v>8987</v>
      </c>
      <c r="F1175" s="92">
        <v>8987</v>
      </c>
      <c r="G1175" s="92">
        <v>8987</v>
      </c>
      <c r="H1175" s="92">
        <v>8987</v>
      </c>
      <c r="I1175" s="122"/>
    </row>
    <row r="1176" spans="1:9" ht="107.25" customHeight="1">
      <c r="A1176" s="69" t="s">
        <v>268</v>
      </c>
      <c r="B1176" s="8" t="s">
        <v>152</v>
      </c>
      <c r="C1176" s="8" t="s">
        <v>421</v>
      </c>
      <c r="D1176" s="91"/>
      <c r="E1176" s="92">
        <f aca="true" t="shared" si="76" ref="E1176:H1177">E1177</f>
        <v>342.5</v>
      </c>
      <c r="F1176" s="92">
        <f t="shared" si="76"/>
        <v>342.5</v>
      </c>
      <c r="G1176" s="92">
        <f t="shared" si="76"/>
        <v>342.5</v>
      </c>
      <c r="H1176" s="92">
        <f t="shared" si="76"/>
        <v>342.5</v>
      </c>
      <c r="I1176" s="122"/>
    </row>
    <row r="1177" spans="1:9" ht="25.5" customHeight="1">
      <c r="A1177" s="90" t="s">
        <v>393</v>
      </c>
      <c r="B1177" s="8" t="s">
        <v>152</v>
      </c>
      <c r="C1177" s="8" t="s">
        <v>421</v>
      </c>
      <c r="D1177" s="91" t="s">
        <v>392</v>
      </c>
      <c r="E1177" s="92">
        <f t="shared" si="76"/>
        <v>342.5</v>
      </c>
      <c r="F1177" s="92">
        <f t="shared" si="76"/>
        <v>342.5</v>
      </c>
      <c r="G1177" s="92">
        <f t="shared" si="76"/>
        <v>342.5</v>
      </c>
      <c r="H1177" s="92">
        <f t="shared" si="76"/>
        <v>342.5</v>
      </c>
      <c r="I1177" s="122"/>
    </row>
    <row r="1178" spans="1:9" ht="25.5" customHeight="1">
      <c r="A1178" s="90" t="s">
        <v>44</v>
      </c>
      <c r="B1178" s="8" t="s">
        <v>152</v>
      </c>
      <c r="C1178" s="8" t="s">
        <v>421</v>
      </c>
      <c r="D1178" s="91" t="s">
        <v>158</v>
      </c>
      <c r="E1178" s="92">
        <v>342.5</v>
      </c>
      <c r="F1178" s="92">
        <f>E1178</f>
        <v>342.5</v>
      </c>
      <c r="G1178" s="92">
        <v>342.5</v>
      </c>
      <c r="H1178" s="92">
        <f>G1178</f>
        <v>342.5</v>
      </c>
      <c r="I1178" s="122"/>
    </row>
    <row r="1179" spans="1:9" ht="79.5" customHeight="1">
      <c r="A1179" s="33" t="s">
        <v>726</v>
      </c>
      <c r="B1179" s="8" t="s">
        <v>152</v>
      </c>
      <c r="C1179" s="8" t="s">
        <v>711</v>
      </c>
      <c r="D1179" s="91"/>
      <c r="E1179" s="92">
        <f aca="true" t="shared" si="77" ref="E1179:H1180">E1180</f>
        <v>222.4</v>
      </c>
      <c r="F1179" s="92">
        <f t="shared" si="77"/>
        <v>83.4</v>
      </c>
      <c r="G1179" s="92">
        <f t="shared" si="77"/>
        <v>222.4</v>
      </c>
      <c r="H1179" s="92">
        <f t="shared" si="77"/>
        <v>83.4</v>
      </c>
      <c r="I1179" s="122"/>
    </row>
    <row r="1180" spans="1:9" ht="21" customHeight="1">
      <c r="A1180" s="90" t="s">
        <v>393</v>
      </c>
      <c r="B1180" s="8" t="s">
        <v>152</v>
      </c>
      <c r="C1180" s="8" t="s">
        <v>711</v>
      </c>
      <c r="D1180" s="91" t="s">
        <v>392</v>
      </c>
      <c r="E1180" s="92">
        <f t="shared" si="77"/>
        <v>222.4</v>
      </c>
      <c r="F1180" s="92">
        <f t="shared" si="77"/>
        <v>83.4</v>
      </c>
      <c r="G1180" s="92">
        <f t="shared" si="77"/>
        <v>222.4</v>
      </c>
      <c r="H1180" s="92">
        <f t="shared" si="77"/>
        <v>83.4</v>
      </c>
      <c r="I1180" s="122"/>
    </row>
    <row r="1181" spans="1:9" ht="22.5" customHeight="1">
      <c r="A1181" s="90" t="s">
        <v>44</v>
      </c>
      <c r="B1181" s="8" t="s">
        <v>152</v>
      </c>
      <c r="C1181" s="8" t="s">
        <v>711</v>
      </c>
      <c r="D1181" s="91" t="s">
        <v>158</v>
      </c>
      <c r="E1181" s="92">
        <f>240.4-18</f>
        <v>222.4</v>
      </c>
      <c r="F1181" s="92">
        <v>83.4</v>
      </c>
      <c r="G1181" s="92">
        <v>222.4</v>
      </c>
      <c r="H1181" s="92">
        <v>83.4</v>
      </c>
      <c r="I1181" s="122"/>
    </row>
    <row r="1182" spans="1:9" ht="30.75" customHeight="1">
      <c r="A1182" s="39" t="s">
        <v>390</v>
      </c>
      <c r="B1182" s="8" t="s">
        <v>152</v>
      </c>
      <c r="C1182" s="36" t="s">
        <v>344</v>
      </c>
      <c r="D1182" s="34"/>
      <c r="E1182" s="37">
        <f>E1183</f>
        <v>3707.6</v>
      </c>
      <c r="F1182" s="92"/>
      <c r="G1182" s="37">
        <f>G1183</f>
        <v>3707.6</v>
      </c>
      <c r="H1182" s="92"/>
      <c r="I1182" s="122"/>
    </row>
    <row r="1183" spans="1:9" ht="22.5" customHeight="1">
      <c r="A1183" s="90" t="s">
        <v>393</v>
      </c>
      <c r="B1183" s="8" t="s">
        <v>152</v>
      </c>
      <c r="C1183" s="36" t="s">
        <v>344</v>
      </c>
      <c r="D1183" s="34" t="s">
        <v>392</v>
      </c>
      <c r="E1183" s="37">
        <f>E1184</f>
        <v>3707.6</v>
      </c>
      <c r="F1183" s="92"/>
      <c r="G1183" s="37">
        <f>G1184</f>
        <v>3707.6</v>
      </c>
      <c r="H1183" s="92"/>
      <c r="I1183" s="122"/>
    </row>
    <row r="1184" spans="1:9" ht="22.5" customHeight="1">
      <c r="A1184" s="90" t="s">
        <v>44</v>
      </c>
      <c r="B1184" s="8" t="s">
        <v>152</v>
      </c>
      <c r="C1184" s="36" t="s">
        <v>344</v>
      </c>
      <c r="D1184" s="34" t="s">
        <v>158</v>
      </c>
      <c r="E1184" s="37">
        <f>3707.6</f>
        <v>3707.6</v>
      </c>
      <c r="F1184" s="92"/>
      <c r="G1184" s="37">
        <v>3707.6</v>
      </c>
      <c r="H1184" s="92"/>
      <c r="I1184" s="122"/>
    </row>
    <row r="1185" spans="1:9" ht="25.5" customHeight="1">
      <c r="A1185" s="40" t="s">
        <v>387</v>
      </c>
      <c r="B1185" s="8" t="s">
        <v>152</v>
      </c>
      <c r="C1185" s="8" t="s">
        <v>345</v>
      </c>
      <c r="D1185" s="66"/>
      <c r="E1185" s="37">
        <f>E1186</f>
        <v>15</v>
      </c>
      <c r="F1185" s="92"/>
      <c r="G1185" s="37">
        <f>G1186</f>
        <v>15</v>
      </c>
      <c r="H1185" s="92"/>
      <c r="I1185" s="122"/>
    </row>
    <row r="1186" spans="1:9" ht="22.5" customHeight="1">
      <c r="A1186" s="90" t="s">
        <v>393</v>
      </c>
      <c r="B1186" s="8" t="s">
        <v>152</v>
      </c>
      <c r="C1186" s="8" t="s">
        <v>345</v>
      </c>
      <c r="D1186" s="34" t="s">
        <v>392</v>
      </c>
      <c r="E1186" s="37">
        <f>E1187</f>
        <v>15</v>
      </c>
      <c r="F1186" s="92"/>
      <c r="G1186" s="37">
        <f>G1187</f>
        <v>15</v>
      </c>
      <c r="H1186" s="92"/>
      <c r="I1186" s="122"/>
    </row>
    <row r="1187" spans="1:9" ht="22.5" customHeight="1">
      <c r="A1187" s="90" t="s">
        <v>44</v>
      </c>
      <c r="B1187" s="8" t="s">
        <v>152</v>
      </c>
      <c r="C1187" s="8" t="s">
        <v>345</v>
      </c>
      <c r="D1187" s="34" t="s">
        <v>158</v>
      </c>
      <c r="E1187" s="37">
        <f>15</f>
        <v>15</v>
      </c>
      <c r="F1187" s="92"/>
      <c r="G1187" s="37">
        <v>15</v>
      </c>
      <c r="H1187" s="92"/>
      <c r="I1187" s="122"/>
    </row>
    <row r="1188" spans="1:9" ht="24.75" customHeight="1">
      <c r="A1188" s="39" t="s">
        <v>383</v>
      </c>
      <c r="B1188" s="8" t="s">
        <v>152</v>
      </c>
      <c r="C1188" s="36" t="s">
        <v>346</v>
      </c>
      <c r="D1188" s="34"/>
      <c r="E1188" s="37">
        <f>E1189</f>
        <v>20.5</v>
      </c>
      <c r="F1188" s="37"/>
      <c r="G1188" s="37">
        <f>G1189</f>
        <v>20.5</v>
      </c>
      <c r="H1188" s="37"/>
      <c r="I1188" s="122"/>
    </row>
    <row r="1189" spans="1:9" ht="22.5" customHeight="1">
      <c r="A1189" s="90" t="s">
        <v>393</v>
      </c>
      <c r="B1189" s="8" t="s">
        <v>152</v>
      </c>
      <c r="C1189" s="36" t="s">
        <v>346</v>
      </c>
      <c r="D1189" s="34" t="s">
        <v>392</v>
      </c>
      <c r="E1189" s="37">
        <f>E1190</f>
        <v>20.5</v>
      </c>
      <c r="F1189" s="92"/>
      <c r="G1189" s="37">
        <f>G1190</f>
        <v>20.5</v>
      </c>
      <c r="H1189" s="92"/>
      <c r="I1189" s="122"/>
    </row>
    <row r="1190" spans="1:9" ht="21" customHeight="1">
      <c r="A1190" s="90" t="s">
        <v>44</v>
      </c>
      <c r="B1190" s="8" t="s">
        <v>152</v>
      </c>
      <c r="C1190" s="36" t="s">
        <v>346</v>
      </c>
      <c r="D1190" s="34" t="s">
        <v>158</v>
      </c>
      <c r="E1190" s="37">
        <f>20.5</f>
        <v>20.5</v>
      </c>
      <c r="F1190" s="92"/>
      <c r="G1190" s="37">
        <v>20.5</v>
      </c>
      <c r="H1190" s="92"/>
      <c r="I1190" s="122"/>
    </row>
    <row r="1191" spans="1:9" ht="21" customHeight="1">
      <c r="A1191" s="87" t="s">
        <v>107</v>
      </c>
      <c r="B1191" s="88"/>
      <c r="C1191" s="88"/>
      <c r="D1191" s="88"/>
      <c r="E1191" s="12">
        <f>E17+E364+E371+E402+E578+E722+E754+E998+E1035+E1044+E1171+E1090+E1139+E1164</f>
        <v>8153599.17</v>
      </c>
      <c r="F1191" s="12">
        <f>F17+F364+F371+F402+F578+F722+F754+F998+F1035+F1044+F1171+F1090+F1139+F1164</f>
        <v>4469740.17</v>
      </c>
      <c r="G1191" s="12">
        <f>G17+G364+G371+G402+G578+G722+G754+G998+G1035+G1044+G1171+G1090+G1139+G1164</f>
        <v>7766420.500000001</v>
      </c>
      <c r="H1191" s="12">
        <f>H17+H364+H371+H402+H578+H722+H754+H998+H1035+H1044+H1171+H1090+H1139+H1164</f>
        <v>4168372.4</v>
      </c>
      <c r="I1191" s="12">
        <f>G1191/E1191*100</f>
        <v>95.25143851288928</v>
      </c>
    </row>
    <row r="1192" spans="1:6" ht="12.75">
      <c r="A1192" s="111"/>
      <c r="B1192" s="111"/>
      <c r="C1192" s="111"/>
      <c r="D1192" s="111"/>
      <c r="E1192" s="111"/>
      <c r="F1192" s="111"/>
    </row>
    <row r="1193" spans="1:6" ht="12.75">
      <c r="A1193" s="111"/>
      <c r="B1193" s="111"/>
      <c r="C1193" s="111"/>
      <c r="D1193" s="111"/>
      <c r="E1193" s="111"/>
      <c r="F1193" s="111"/>
    </row>
    <row r="1195" spans="6:8" ht="12.75">
      <c r="F1195" s="6"/>
      <c r="H1195" s="6"/>
    </row>
    <row r="1196" ht="12.75">
      <c r="E1196" s="7"/>
    </row>
    <row r="1197" spans="5:6" ht="12.75">
      <c r="E1197" s="7"/>
      <c r="F1197" s="6"/>
    </row>
    <row r="1198" ht="12.75">
      <c r="E1198" s="7"/>
    </row>
    <row r="1199" ht="12.75">
      <c r="E1199" s="7"/>
    </row>
    <row r="1200" spans="5:9" ht="12.75">
      <c r="E1200" s="7"/>
      <c r="I1200" s="6"/>
    </row>
    <row r="1201" ht="12.75">
      <c r="E1201" s="7"/>
    </row>
  </sheetData>
  <sheetProtection/>
  <autoFilter ref="A16:I1191"/>
  <mergeCells count="5">
    <mergeCell ref="A15:A16"/>
    <mergeCell ref="B15:D15"/>
    <mergeCell ref="A12:I12"/>
    <mergeCell ref="E15:F15"/>
    <mergeCell ref="G15:I15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59" r:id="rId1"/>
  <headerFooter alignWithMargins="0">
    <oddHeader>&amp;C&amp;P</oddHeader>
    <oddFooter>&amp;L36/мз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2020-06-30T08:44:11Z</cp:lastPrinted>
  <dcterms:created xsi:type="dcterms:W3CDTF">2003-07-23T10:25:27Z</dcterms:created>
  <dcterms:modified xsi:type="dcterms:W3CDTF">2020-06-30T08:44:15Z</dcterms:modified>
  <cp:category/>
  <cp:version/>
  <cp:contentType/>
  <cp:contentStatus/>
</cp:coreProperties>
</file>