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652" windowHeight="8976" tabRatio="601" activeTab="2"/>
  </bookViews>
  <sheets>
    <sheet name="доходы 2019" sheetId="1" r:id="rId1"/>
    <sheet name="расходы 2019" sheetId="2" r:id="rId2"/>
    <sheet name="ведомст 2019" sheetId="3" r:id="rId3"/>
    <sheet name="дефицит 2019" sheetId="4" r:id="rId4"/>
    <sheet name="муниц прогр 2019" sheetId="5" r:id="rId5"/>
    <sheet name="план финансирования 2019" sheetId="6" r:id="rId6"/>
  </sheets>
  <definedNames>
    <definedName name="_xlnm._FilterDatabase" localSheetId="2" hidden="1">'ведомст 2019'!$A$15:$F$274</definedName>
    <definedName name="Excel_BuiltIn__FilterDatabase" localSheetId="4">'муниц прогр 2019'!$A$17:$C$263</definedName>
    <definedName name="Excel_BuiltIn__FilterDatabase" localSheetId="1">'расходы 2019'!$A$14:$E$304</definedName>
    <definedName name="Z_072D351B_4DCF_4C5F_BB0C_B1F84EBBD46B_.wvu.Cols" localSheetId="4">'муниц прогр 2019'!#REF!</definedName>
    <definedName name="Z_072D351B_4DCF_4C5F_BB0C_B1F84EBBD46B_.wvu.PrintArea" localSheetId="4">'муниц прогр 2019'!$A$14:$D$294</definedName>
    <definedName name="Z_072D351B_4DCF_4C5F_BB0C_B1F84EBBD46B_.wvu.PrintTitles" localSheetId="4">'муниц прогр 2019'!$17:$17</definedName>
    <definedName name="Z_3708D406_71C9_49CC_A67A_2D2190B41A82_.wvu.FilterData" localSheetId="1">'расходы 2019'!$A$18:$D$304</definedName>
    <definedName name="Z_4739F1B8_629E_4911_A516_CBE7309FD785_.wvu.FilterData" localSheetId="2">'ведомст 2019'!$A$15:$F$274</definedName>
    <definedName name="Z_4AF32C0D_3EF2_4B3B_9612_87CA8DBB6ACF_.wvu.Cols" localSheetId="4">'муниц прогр 2019'!#REF!</definedName>
    <definedName name="Z_4AF32C0D_3EF2_4B3B_9612_87CA8DBB6ACF_.wvu.PrintArea" localSheetId="4">'муниц прогр 2019'!$A$14:$D$294</definedName>
    <definedName name="Z_4AF32C0D_3EF2_4B3B_9612_87CA8DBB6ACF_.wvu.PrintTitles" localSheetId="4">'муниц прогр 2019'!$17:$17</definedName>
    <definedName name="Z_5F1072CB_A768_452E_BCF8_20340BB8BAB0_.wvu.Cols" localSheetId="4">'муниц прогр 2019'!#REF!</definedName>
    <definedName name="Z_5F1072CB_A768_452E_BCF8_20340BB8BAB0_.wvu.PrintArea" localSheetId="4">'муниц прогр 2019'!$A$14:$D$294</definedName>
    <definedName name="Z_5F1072CB_A768_452E_BCF8_20340BB8BAB0_.wvu.PrintTitles" localSheetId="4">'муниц прогр 2019'!$17:$17</definedName>
    <definedName name="Z_602708FF_2C0D_4423_A41F_A0DAD053BCB9_.wvu.FilterData" localSheetId="2">'ведомст 2019'!$A$15:$F$274</definedName>
    <definedName name="Z_742DD9F2_8A71_4480_AC11_A74320E5619E_.wvu.FilterData" localSheetId="1">'расходы 2019'!$A$18:$D$304</definedName>
    <definedName name="Z_829AF458_32E9_4EBE_8AEA_C1C6BE533EAE_.wvu.FilterData" localSheetId="1">'расходы 2019'!$A$18:$D$304</definedName>
    <definedName name="Z_829AF458_32E9_4EBE_8AEA_C1C6BE533EAE_.wvu.PrintArea" localSheetId="1">'расходы 2019'!$A$14:$E$309</definedName>
    <definedName name="Z_829AF458_32E9_4EBE_8AEA_C1C6BE533EAE_.wvu.PrintTitles" localSheetId="1">'расходы 2019'!$15:$17</definedName>
    <definedName name="Z_829AF458_32E9_4EBE_8AEA_C1C6BE533EAE_.wvu.Rows" localSheetId="1">'расходы 2019'!#REF!</definedName>
    <definedName name="Z_858EF935_9412_49EF_81B0_F8CE77DDB678_.wvu.FilterData" localSheetId="2">'ведомст 2019'!$A$15:$F$274</definedName>
    <definedName name="Z_858EF935_9412_49EF_81B0_F8CE77DDB678_.wvu.PrintArea" localSheetId="2">'ведомст 2019'!$A$13:$G$274</definedName>
    <definedName name="Z_858EF935_9412_49EF_81B0_F8CE77DDB678_.wvu.PrintTitles" localSheetId="2">'ведомст 2019'!$15:$15</definedName>
    <definedName name="Z_8E538972_DCB6_4DF0_B6A0_1DAF22EE85A5_.wvu.FilterData" localSheetId="1">'расходы 2019'!$A$18:$D$304</definedName>
    <definedName name="Z_8E538972_DCB6_4DF0_B6A0_1DAF22EE85A5_.wvu.PrintArea" localSheetId="1">'расходы 2019'!$A$14:$E$309</definedName>
    <definedName name="Z_8E538972_DCB6_4DF0_B6A0_1DAF22EE85A5_.wvu.PrintTitles" localSheetId="1">'расходы 2019'!$15:$17</definedName>
    <definedName name="Z_8E538972_DCB6_4DF0_B6A0_1DAF22EE85A5_.wvu.Rows" localSheetId="1">'расходы 2019'!#REF!</definedName>
    <definedName name="Z_93FC2DE2_8935_4E50_BFC5_18187CAC2303_.wvu.FilterData" localSheetId="2">'ведомст 2019'!$A$15:$F$274</definedName>
    <definedName name="Z_A26D4967_F1CF_4E95_A59C_FC369D6520C7_.wvu.FilterData" localSheetId="1">'расходы 2019'!$A$18:$D$304</definedName>
    <definedName name="Z_A26D4967_F1CF_4E95_A59C_FC369D6520C7_.wvu.PrintArea" localSheetId="1">'расходы 2019'!$A$14:$E$309</definedName>
    <definedName name="Z_A26D4967_F1CF_4E95_A59C_FC369D6520C7_.wvu.PrintTitles" localSheetId="1">'расходы 2019'!$15:$17</definedName>
    <definedName name="Z_A26D4967_F1CF_4E95_A59C_FC369D6520C7_.wvu.Rows" localSheetId="1">'расходы 2019'!#REF!</definedName>
    <definedName name="Z_B452F1D7_E242_4E66_AEEE_75884A98B5E4_.wvu.FilterData" localSheetId="1">'расходы 2019'!$A$18:$D$304</definedName>
    <definedName name="Z_D0485094_6CEC_4C5E_AB0A_25AE40B80192_.wvu.FilterData" localSheetId="2">'ведомст 2019'!$A$15:$F$274</definedName>
    <definedName name="Z_DEEAFF70_302D_4EE4_8D9C_7BB1BBA5AB30_.wvu.FilterData" localSheetId="1">'расходы 2019'!$A$18:$D$304</definedName>
    <definedName name="Z_E1A64AA6_FE7B_435E_A2C2_7EDB8F67314E_.wvu.FilterData" localSheetId="2">'ведомст 2019'!$A$15:$F$274</definedName>
    <definedName name="Z_E1A64AA6_FE7B_435E_A2C2_7EDB8F67314E_.wvu.PrintTitles" localSheetId="2">'ведомст 2019'!$15:$15</definedName>
    <definedName name="Z_E29607FC_896B_4EBF_BC37_379DE748C961_.wvu.FilterData" localSheetId="2">'ведомст 2019'!$A$15:$F$274</definedName>
    <definedName name="_xlnm.Print_Titles" localSheetId="3">'дефицит 2019'!$17:$17</definedName>
    <definedName name="_xlnm.Print_Area" localSheetId="2">'ведомст 2019'!$A$1:$G$308</definedName>
    <definedName name="_xlnm.Print_Area" localSheetId="0">'доходы 2019'!$A$1:$D$58</definedName>
    <definedName name="_xlnm.Print_Area" localSheetId="1">'расходы 2019'!$A$1:$G$304</definedName>
  </definedNames>
  <calcPr fullCalcOnLoad="1"/>
</workbook>
</file>

<file path=xl/sharedStrings.xml><?xml version="1.0" encoding="utf-8"?>
<sst xmlns="http://schemas.openxmlformats.org/spreadsheetml/2006/main" count="3752" uniqueCount="746">
  <si>
    <t>5.32.32</t>
  </si>
  <si>
    <t xml:space="preserve">Работы по переносу линии уличного освещения в районе парковки </t>
  </si>
  <si>
    <t>у дома №3 по улице 50 лет Октября</t>
  </si>
  <si>
    <t>Ул.Западная, д. 43</t>
  </si>
  <si>
    <t xml:space="preserve">Устройство дополнительной линии уличного освещения </t>
  </si>
  <si>
    <t>дом №14 по улице Горького</t>
  </si>
  <si>
    <t>5.13.28</t>
  </si>
  <si>
    <t>Демонтаж дымовой трубы многоквартирного жилого  дома (за счет средств резервного фонда)</t>
  </si>
  <si>
    <t>Содержание внутриквартальных дорог  в границах городских округов и поселений в рамках благоустройства, всего</t>
  </si>
  <si>
    <t>5.32.1</t>
  </si>
  <si>
    <t>Содержание внутриквартальных дорог  в границах городских округов и поселений в рамках благоустройства</t>
  </si>
  <si>
    <t>Озеленение, всего</t>
  </si>
  <si>
    <t>5.33.1</t>
  </si>
  <si>
    <t>Предоставление субсидий бюджетным, автономным учреждениям и иным некоммерческим организациям МБУ "Благоустройство городского поселения Краснозаводск Сергиево-Посадского муниципального района Московской области"</t>
  </si>
  <si>
    <t>Организация и содержание мест захоронения, всего</t>
  </si>
  <si>
    <t>5.34.1</t>
  </si>
  <si>
    <t>Благоустройство кладбищ</t>
  </si>
  <si>
    <t>г.п.Краснозаводск , д.Рогачево</t>
  </si>
  <si>
    <t>5.34.2</t>
  </si>
  <si>
    <t>Прочие мероприятия по благоустройству  поселений, всего</t>
  </si>
  <si>
    <t>5.35.1</t>
  </si>
  <si>
    <t>5.35.2</t>
  </si>
  <si>
    <t>Разработка, проверка/корректировка сметной документации на различные виды строительно-монтажных работ</t>
  </si>
  <si>
    <t>5.35.3</t>
  </si>
  <si>
    <t>Расходы на ликвидацию стихийных свалок на  территории городского поселения</t>
  </si>
  <si>
    <t>5.32.11</t>
  </si>
  <si>
    <t>797 0503 0620100010 610</t>
  </si>
  <si>
    <t>5.32.12</t>
  </si>
  <si>
    <t>797 0503 0620100020 610</t>
  </si>
  <si>
    <t>5.32.13</t>
  </si>
  <si>
    <t>797 0503 0620100030 240</t>
  </si>
  <si>
    <t xml:space="preserve">Содержание внутриквартальных дорог </t>
  </si>
  <si>
    <t>5.32.14</t>
  </si>
  <si>
    <t>797 0503 0620100050 240</t>
  </si>
  <si>
    <t>5.32.21</t>
  </si>
  <si>
    <t>797 0503 0620200010 240</t>
  </si>
  <si>
    <t>5.32.22</t>
  </si>
  <si>
    <t>797 0503 0620200020 240</t>
  </si>
  <si>
    <t>5.32.23</t>
  </si>
  <si>
    <t>797 0503 062F2S2630 240</t>
  </si>
  <si>
    <t>5.32.24</t>
  </si>
  <si>
    <t>797 0503 0620200040 240</t>
  </si>
  <si>
    <t>Устройство  линии наружного освещения</t>
  </si>
  <si>
    <t>от д.7 по ул. Новой до автодороги на кладбище</t>
  </si>
  <si>
    <t>5.32.25</t>
  </si>
  <si>
    <t>Ремонт линии электроснабжения</t>
  </si>
  <si>
    <t>п. Мирный</t>
  </si>
  <si>
    <t>5.32.26</t>
  </si>
  <si>
    <t>Ремонт места повреждения КЛ-10кВ ПС209 Ф111 на ТП-2</t>
  </si>
  <si>
    <t>5.32.27</t>
  </si>
  <si>
    <t xml:space="preserve">Устройство  линии наружного освещения </t>
  </si>
  <si>
    <t>от д.1 по ул. Трудовая до д.12</t>
  </si>
  <si>
    <t>5.32.28</t>
  </si>
  <si>
    <t xml:space="preserve"> ул. Комсомольская</t>
  </si>
  <si>
    <t>5.32.29</t>
  </si>
  <si>
    <t>Экспертиза смет по программе "Светлый город"</t>
  </si>
  <si>
    <t>5.32.30</t>
  </si>
  <si>
    <t>Выявление повреждений электрического кабеля и устранение повреждений (за счет средств резервного фонда)</t>
  </si>
  <si>
    <t>5.32.31</t>
  </si>
  <si>
    <t>797 0503 0620300010 000</t>
  </si>
  <si>
    <t xml:space="preserve">Прочие мероприятия по благоустройству  </t>
  </si>
  <si>
    <t>5.32.41</t>
  </si>
  <si>
    <t>797 0503 0620400010 240</t>
  </si>
  <si>
    <t>5.32.42</t>
  </si>
  <si>
    <t>5.32.43</t>
  </si>
  <si>
    <t>Реализация мероприятий по борьбе с борщевиком</t>
  </si>
  <si>
    <t>5.32.44</t>
  </si>
  <si>
    <t>Финансирование проекта городского парка в рамках Всероссийского конкурса лучших проектов создания комфортной среды</t>
  </si>
  <si>
    <t>5.32.45</t>
  </si>
  <si>
    <t>Инжерено-геологические и инженерно-экологические изыскания для создания футбольного поля с искуственным покрытием</t>
  </si>
  <si>
    <t>5.32.46</t>
  </si>
  <si>
    <t>Мероприятия по благоустройству поселений.</t>
  </si>
  <si>
    <t>5.32.47</t>
  </si>
  <si>
    <t>Устройство новых, ремонт и комплектация существующих детских и спортивных площадок</t>
  </si>
  <si>
    <t>5.32.48</t>
  </si>
  <si>
    <t xml:space="preserve">Устройство сцены </t>
  </si>
  <si>
    <t>площадь у КДЦ Радуга</t>
  </si>
  <si>
    <t>5.32.49</t>
  </si>
  <si>
    <t>797 0503 062F2S1350 240</t>
  </si>
  <si>
    <t>Комплексное благоустройство территорий  муниципальных образований</t>
  </si>
  <si>
    <t>В С Е Г О  Р А С Х О Д О В</t>
  </si>
  <si>
    <t xml:space="preserve"> Исполнение государственных (муниципальных)
гарантий без права регрессного требования гаранта
к принципалу или уступки гаранту прав требования
бенефициара к принципалу</t>
  </si>
  <si>
    <t>840</t>
  </si>
  <si>
    <t xml:space="preserve">Наименования </t>
  </si>
  <si>
    <t>Сумма</t>
  </si>
  <si>
    <t>Приложение № 2</t>
  </si>
  <si>
    <t xml:space="preserve">к Решению городского поселения </t>
  </si>
  <si>
    <t>Краснозаводск Сергиево-Посадского</t>
  </si>
  <si>
    <t xml:space="preserve">муниципального района Московской </t>
  </si>
  <si>
    <t>области</t>
  </si>
  <si>
    <t xml:space="preserve"> от  «___ » __________  201__г. №__</t>
  </si>
  <si>
    <t xml:space="preserve"> от  «07 »ноября  2018 г. №2/70</t>
  </si>
  <si>
    <t xml:space="preserve">Расходы бюджета городского поселения  Краснозаводск Сергиево-Посадского муниципального района Московской области на 2019 год   по разделам и подразделам,
целевым статьям и видам расходов
</t>
  </si>
  <si>
    <t>(тыс.руб.)</t>
  </si>
  <si>
    <t>Наименование</t>
  </si>
  <si>
    <t>Код</t>
  </si>
  <si>
    <t>ВСЕГО</t>
  </si>
  <si>
    <t>в т.ч. за счет МБТ</t>
  </si>
  <si>
    <t>Рз, ПРз</t>
  </si>
  <si>
    <t>ЦСР</t>
  </si>
  <si>
    <t>ВР</t>
  </si>
  <si>
    <t>Общегосударственные вопросы</t>
  </si>
  <si>
    <t>01 00</t>
  </si>
  <si>
    <t xml:space="preserve">Функционирование высшего должностного лица субъекта Российской Федерации и муниципального образования  </t>
  </si>
  <si>
    <t>01 02</t>
  </si>
  <si>
    <t>Руководство и управление в сфере установленных функций органов государственной власти Московской области и органов местного самоуправления</t>
  </si>
  <si>
    <t>95 0 00  00000</t>
  </si>
  <si>
    <t>Глава муниципального образования</t>
  </si>
  <si>
    <t>95 0 00 04950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</si>
  <si>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</si>
  <si>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</si>
  <si>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муниципальных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</si>
  <si>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</si>
  <si>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</si>
  <si>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01 03</t>
  </si>
  <si>
    <t>Председатель представительного органа муниципального самоуправления</t>
  </si>
  <si>
    <t>95 0 00 09010</t>
  </si>
  <si>
    <t>Центральный аппарат</t>
  </si>
  <si>
    <t>95 0 00 04000</t>
  </si>
  <si>
    <t>Центральный аппарат (муниципальные служащие)</t>
  </si>
  <si>
    <t>95 0  00 04980</t>
  </si>
  <si>
    <t>Прочие расходы на обеспечение деятельности центрального аппарата</t>
  </si>
  <si>
    <t>95 0 00 04990</t>
  </si>
  <si>
    <t>Закупка товаров, работ и услуг для муниципальных нужд</t>
  </si>
  <si>
    <t>200</t>
  </si>
  <si>
    <t>Иные закупки товаров, работ и услуг для обеспечения муниципальных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</si>
  <si>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</si>
  <si>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</si>
  <si>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</si>
  <si>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</si>
  <si>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</si>
  <si>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</si>
  <si>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01 04</t>
  </si>
  <si>
    <t>Центральный аппарат (технические служащие)</t>
  </si>
  <si>
    <t>95 0 00 04970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</si>
  <si>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</si>
  <si>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01 06</t>
  </si>
  <si>
    <t>Руководитель ревизионной комиссии муниципального образования</t>
  </si>
  <si>
    <t>95 0 00 04960</t>
  </si>
  <si>
    <t xml:space="preserve"> Обеспечение проведения выборов и референдумов</t>
  </si>
  <si>
    <t>01 07</t>
  </si>
  <si>
    <t>95 0 00 00070</t>
  </si>
  <si>
    <t>Проведение выборов и референдумов</t>
  </si>
  <si>
    <t>Специальные расходы</t>
  </si>
  <si>
    <t>880</t>
  </si>
  <si>
    <t>Резервные фонды</t>
  </si>
  <si>
    <t>01 11</t>
  </si>
  <si>
    <t>Финансовое обеспечение непредвиденных расходов бюджета за счет формирования Резервного фонда администрации</t>
  </si>
  <si>
    <t>99 0 00  02000</t>
  </si>
  <si>
    <t>Резервные фонды местных администраций</t>
  </si>
  <si>
    <t>Резервные средства</t>
  </si>
  <si>
    <t>870</t>
  </si>
  <si>
    <t xml:space="preserve">Муниципальная  программа "Обеспечение безопасности жизнедеятельности населения на 2019-2023 годы городского поселения Краснозаводск"
</t>
  </si>
  <si>
    <t>01 0 00 00000</t>
  </si>
  <si>
    <t>Резервные фонды местных администраций для ликвидации последствий чрезвычайных ситуаций  природного и техногенного характера</t>
  </si>
  <si>
    <t>01 0 00 00050</t>
  </si>
  <si>
    <t>Другие общегосударственные вопросы</t>
  </si>
  <si>
    <t>01 13</t>
  </si>
  <si>
    <t>Муниципальная программа "Развитие земельно-имущественных отношений в городском поселении Краснозаводск на 2019-2023 годы"</t>
  </si>
  <si>
    <t>12 0 00  00000</t>
  </si>
  <si>
    <t>Обеспечение государственной регистрации права собственности городского поселения, определение рыночной стоимости имущества для целей приватизации и сдачи в аренду , ремонт и содержание муниципального имущества</t>
  </si>
  <si>
    <t>12 0 00  00010</t>
  </si>
  <si>
    <t>Муниципальная программа  "Доступная среда городского поселения Краснозаводск на период 2015-2019 годы"</t>
  </si>
  <si>
    <t>11 0 00 00000</t>
  </si>
  <si>
    <t>Оборудование зданий с учетом доступности</t>
  </si>
  <si>
    <t>11 0 00 00030</t>
  </si>
  <si>
    <t>Непрограммные расходы бюджета</t>
  </si>
  <si>
    <t>99 0 00  00000</t>
  </si>
  <si>
    <t>Муниципальное казенное учреждение "Развитие городского поселения Краснозаводск  Сергиево-Посадского муниципального района Московской области</t>
  </si>
  <si>
    <t>99 0 00 01050</t>
  </si>
  <si>
    <t>Расходы на выплаты персоналу казенных учреждений</t>
  </si>
  <si>
    <t>110</t>
  </si>
  <si>
    <t>Национальная оборона</t>
  </si>
  <si>
    <t>02 00</t>
  </si>
  <si>
    <t xml:space="preserve">Мобилизационная и вневойсковая подготовка </t>
  </si>
  <si>
    <t>02 03</t>
  </si>
  <si>
    <t>99 0 00 51180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</si>
  <si>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</si>
  <si>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</si>
  <si>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03 00</t>
  </si>
  <si>
    <t xml:space="preserve"> </t>
  </si>
  <si>
    <t>Обеспечение безопасности людей на водных объектах</t>
  </si>
  <si>
    <t>03 09</t>
  </si>
  <si>
    <t>01 0 00 00010</t>
  </si>
  <si>
    <t>Мероприятия по защите населения и территории от чрезвычайных ситуаций  природного и техногенного характера, гражданская оборона</t>
  </si>
  <si>
    <t>01 0 00 00040</t>
  </si>
  <si>
    <t>Обеспечение первичных мер пожарной безопасности.</t>
  </si>
  <si>
    <t>03 14</t>
  </si>
  <si>
    <t>01 0 00 00020</t>
  </si>
  <si>
    <t>Мероприятия по профилактике и противодействию терроризму и экстремизму</t>
  </si>
  <si>
    <t>01 0 00 00030</t>
  </si>
  <si>
    <t>Национальная экономика</t>
  </si>
  <si>
    <t>04 00</t>
  </si>
  <si>
    <t>Дорожное хозяйство (дорожные фонды)</t>
  </si>
  <si>
    <t>04 09</t>
  </si>
  <si>
    <t>Муниципальная программа  "Развитие и функционирование дорожно-транспортного комплекса городского поселения Краснозаводск на 2019-2023 годы"</t>
  </si>
  <si>
    <t>02 0 00 00000</t>
  </si>
  <si>
    <t>Обеспечение устойчивого функционирования дорожного хозяйства.</t>
  </si>
  <si>
    <t>Ремонт объектов дорожного хозяйства</t>
  </si>
  <si>
    <t>02 0 00 00010</t>
  </si>
  <si>
    <t>Содержание и текущий ремонт улично-дорожной сети</t>
  </si>
  <si>
    <t>02 0 00 00020</t>
  </si>
  <si>
    <t>Капитальный ремонт и ремонт автомобильных дорог общего пользования местного значения в рамках Государственной программы Московской области "Развитие и функционирование дорожно-транспортного комплекса" на 2017-2021 годы</t>
  </si>
  <si>
    <t>02 0 00 S0240</t>
  </si>
  <si>
    <t xml:space="preserve">Муниципальная программа городского поселения Краснозаводск «Формирование современной комфортной городской среды городского поселения Краснозаводск на 2018-2022 годы» </t>
  </si>
  <si>
    <t>06 0 00 00000</t>
  </si>
  <si>
    <t>Подпрограмма I «Комфортная городская среда»</t>
  </si>
  <si>
    <t>06 1 00 00000</t>
  </si>
  <si>
    <t>Основное мероприятие. Благоустройство дворовых территорий</t>
  </si>
  <si>
    <t>06 1 01 00000</t>
  </si>
  <si>
    <t>Комплексное благоустройство дворовых территорий</t>
  </si>
  <si>
    <t>06 1 01 00010</t>
  </si>
  <si>
    <t>Федеральный проект " Формирование комфортной городской среды"</t>
  </si>
  <si>
    <t>0409</t>
  </si>
  <si>
    <t>06 1 F2 00000</t>
  </si>
  <si>
    <t>Ремонт дворовых территорий</t>
  </si>
  <si>
    <t>06 1 F2 S2740</t>
  </si>
  <si>
    <t>Связь и информатика</t>
  </si>
  <si>
    <t>04 10</t>
  </si>
  <si>
    <t>Подпрограмма IV «Развитие информационных технологий в сфере ЖКХ"»</t>
  </si>
  <si>
    <t>06 4 00 00000</t>
  </si>
  <si>
    <t xml:space="preserve">Основное мероприятие. Обеспечение доступа к электронным сервисам цифровой инфраструктуры в сфере ЖКХ </t>
  </si>
  <si>
    <t>06 4 01 00000</t>
  </si>
  <si>
    <t>Федеральный проект " Цифровое государственное управление"</t>
  </si>
  <si>
    <t>06 4 D6 00000</t>
  </si>
  <si>
    <t>Предоставление доступа к электронным сервисам цифровой инфраструктуры в сфере жилищно-коммунального хозяйства</t>
  </si>
  <si>
    <t>06 4 D6 S0940</t>
  </si>
  <si>
    <t>Другие вопросы в области национальной экономики</t>
  </si>
  <si>
    <t>04 12</t>
  </si>
  <si>
    <t>12 0 00 00000</t>
  </si>
  <si>
    <t>Мероприятия по землеустройству и землепользованию</t>
  </si>
  <si>
    <t>12 0 00 00020</t>
  </si>
  <si>
    <t>Жилищно-коммунальное хозяйство</t>
  </si>
  <si>
    <t>05 00</t>
  </si>
  <si>
    <t>Жилищное хозяйство</t>
  </si>
  <si>
    <t>05 01</t>
  </si>
  <si>
    <t>Муниципальная программа  "Переселение граждан из аварийного жилищного фонда в городском поселении Краснозаводск на 2015-2022 годы"</t>
  </si>
  <si>
    <t>08 0 00 00000</t>
  </si>
  <si>
    <t>Обеспечение мероприятий по переселению граждан из аварийного жилищного фонда за счет субсидии из бюджета Московской области</t>
  </si>
  <si>
    <t>08 0 00 09602</t>
  </si>
  <si>
    <t xml:space="preserve">Обеспечение мероприятий по переселению граждан из аварийного жилищного фонда за счет субсидии из бюджета Московской области в рамках Адресной программы Московской области «Переселение граждан из аварийного жилищного фонда в Московской области на 2016-2019 годы» </t>
  </si>
  <si>
    <t xml:space="preserve">Обеспечение мероприятий по переселению граждан из аварийного жилищного фонда за счет средств бюджета в рамках Адресной программы Московской области «Переселение граждан из аварийного жилищного фонда в Московской области на 2016-2019 годы» </t>
  </si>
  <si>
    <t>08 0 00 S9602</t>
  </si>
  <si>
    <t xml:space="preserve"> Капитальные вложения в объекты недвижимого имущества муниципальной собственности из местного бюджета</t>
  </si>
  <si>
    <t>08 0 00 00200</t>
  </si>
  <si>
    <t>400</t>
  </si>
  <si>
    <t>Бюджетные  инвестиции</t>
  </si>
  <si>
    <t>410</t>
  </si>
  <si>
    <t>Подпрограмма III «Создание условий для обеспечения комфортного проживания жителей в многоквартирных домах»</t>
  </si>
  <si>
    <t>06 3 00 00000</t>
  </si>
  <si>
    <t>Основное мероприятие. Приведение в надлежащее состояние подъездов в многоквартирных домах</t>
  </si>
  <si>
    <t>06 3 01 00000</t>
  </si>
  <si>
    <t>Ремонт подъездов в многоквартирных домах в рамках Государственной программы Московской области "Формирование современной комфортной городской среды"</t>
  </si>
  <si>
    <t>06 3 01 S0950</t>
  </si>
  <si>
    <t>810</t>
  </si>
  <si>
    <t>Основное мероприятие. Создание благоприятных условий для проживания граждан в многоквартирных домах на территории городского поселения</t>
  </si>
  <si>
    <t>06 3 02 00000</t>
  </si>
  <si>
    <t>Взносы региональному оператору на капитальный ремонт муниципального жилищного фонда</t>
  </si>
  <si>
    <t>06 3 02 00020</t>
  </si>
  <si>
    <t>Прочие мероприятия в сфере жилищного хозяйства</t>
  </si>
  <si>
    <t>Основное мероприятие.Содержание незаселенного муниципального жилого фонда городского поселения Краснозаводск</t>
  </si>
  <si>
    <t>06 3 02 00030</t>
  </si>
  <si>
    <t>Оборудование жилых зданий с учетом доступности (пандусы, механические подъемники и другие)</t>
  </si>
  <si>
    <t>11 0 00 00010</t>
  </si>
  <si>
    <t>Коммунальное хозяйство</t>
  </si>
  <si>
    <t>05 02</t>
  </si>
  <si>
    <t>Муниципальная программа  "Развитие и модернизация коммунального хозяйства городского поселения Краснозаводск на 2019-2023 годы"</t>
  </si>
  <si>
    <t>03 0 00 00000</t>
  </si>
  <si>
    <t>03 0 00 00010</t>
  </si>
  <si>
    <t>Благоустройство</t>
  </si>
  <si>
    <t>05 03</t>
  </si>
  <si>
    <t>Подпрограмма II «Благоустройство территорий»</t>
  </si>
  <si>
    <t>06 2 00 00000</t>
  </si>
  <si>
    <t>Основное мероприятие. Поддержание территории городского поселения Краснозаводск в нормативном состоянии</t>
  </si>
  <si>
    <t>06 2 01 00000</t>
  </si>
  <si>
    <t>Обеспечение чистоты и порядка на территории города</t>
  </si>
  <si>
    <t>06 2 01 00010</t>
  </si>
  <si>
    <t>Предоставление субсидий бюджетным, автономным учреждениям и иным некоммерческим организациям</t>
  </si>
  <si>
    <t>600</t>
  </si>
  <si>
    <t xml:space="preserve">Субсидии бюджетным учреждениям </t>
  </si>
  <si>
    <t>610</t>
  </si>
  <si>
    <t>Озеленение объектов благоустройства</t>
  </si>
  <si>
    <t>06 2 01 00020</t>
  </si>
  <si>
    <t>Содержание  внутриквартальных дорог</t>
  </si>
  <si>
    <t>06 2 01 00030</t>
  </si>
  <si>
    <t>Ликвидация несанкционированных свалок на территории поселения</t>
  </si>
  <si>
    <t>06 2 01 00050</t>
  </si>
  <si>
    <t>Основное мероприятие. Уличное освещение.</t>
  </si>
  <si>
    <t>06 2 02 00000</t>
  </si>
  <si>
    <t>Обслуживание уличного освещения</t>
  </si>
  <si>
    <t>06 2 02 00010</t>
  </si>
  <si>
    <t>Оплата электроэнергии за уличное освещение (согласно потребленного объема)</t>
  </si>
  <si>
    <t>06 2 02 00020</t>
  </si>
  <si>
    <t>06 2 F2 00000</t>
  </si>
  <si>
    <t>Устройство и капитальный ремонт электросетевого хозяйства, систем наружного и архитектурно-художественного освещения в рамках реализации приоритетного проекта "Светлый город"</t>
  </si>
  <si>
    <t>06 2 F2 S2630</t>
  </si>
  <si>
    <t>Устройство и капитальный ремонт линий уличного освещения</t>
  </si>
  <si>
    <t>06 2 02 00040</t>
  </si>
  <si>
    <t>Основное мероприятие. Организация и содержание мест захоронения.</t>
  </si>
  <si>
    <t>06 2 03 00000</t>
  </si>
  <si>
    <t>Содержание мест захоронения.</t>
  </si>
  <si>
    <t>06 2 03 00010</t>
  </si>
  <si>
    <t>Муниципальное казенное учреждение "Похоронная служба городского поселения Краснозаводск  Сергиево-Посадского муниципального района Московской области</t>
  </si>
  <si>
    <t>Основное мероприятие. Прочие мероприятия.</t>
  </si>
  <si>
    <t>06 2 04 00000</t>
  </si>
  <si>
    <t>Прочие мероприятия по благоустройству поселений.</t>
  </si>
  <si>
    <t>06 2 04 00010</t>
  </si>
  <si>
    <t>Комплексное благоустройство территорий муниципальных образований Московской области</t>
  </si>
  <si>
    <t>06 2 F2 S1350</t>
  </si>
  <si>
    <t>Приобретение  техники  для нужд благоустройства территорий муниципальных образований Московской области</t>
  </si>
  <si>
    <t>06 2 F2 S1360</t>
  </si>
  <si>
    <t>Образование</t>
  </si>
  <si>
    <t>07 00</t>
  </si>
  <si>
    <t>Муниципальная программа  "Молодое поколение городского поселения Краснозаводск на 2019-2023годы"</t>
  </si>
  <si>
    <t>07 07</t>
  </si>
  <si>
    <t>09 0 00 00000</t>
  </si>
  <si>
    <t>09 0 00 00010</t>
  </si>
  <si>
    <t>Культура, кинематография</t>
  </si>
  <si>
    <t>08 00</t>
  </si>
  <si>
    <t>Культура</t>
  </si>
  <si>
    <t>08 01</t>
  </si>
  <si>
    <t>Муниципальная программа  "Развитие сферы культуры в городском поселении Краснозаводск на 2019-2023 годы"</t>
  </si>
  <si>
    <t>04 0 00 00000</t>
  </si>
  <si>
    <t>Развитие досуговой деятельности, народного творчества и профессионального искусства</t>
  </si>
  <si>
    <t>04 0 00  00010</t>
  </si>
  <si>
    <t>Обеспечение деятельности учреждений культуры</t>
  </si>
  <si>
    <t>Составление проектно-сметной документации на проведение капитального ремонта здания МБУК КДЦ "Радуга"</t>
  </si>
  <si>
    <t>04 0 00  00030</t>
  </si>
  <si>
    <t>Праздничные и культурно-массовые мероприятия городского значения в сфере культуры</t>
  </si>
  <si>
    <t>04 0 00  00020</t>
  </si>
  <si>
    <t xml:space="preserve">Мероприятия с сфере культуры и кинематографии </t>
  </si>
  <si>
    <t>Социальная политика</t>
  </si>
  <si>
    <t>10 00</t>
  </si>
  <si>
    <t>10 01</t>
  </si>
  <si>
    <t>Пенсионное обеспечение</t>
  </si>
  <si>
    <t>99 0 00 00000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</si>
  <si>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</si>
  <si>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</si>
  <si>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99 0 00 01040</t>
  </si>
  <si>
    <t xml:space="preserve">Социальное обеспечение и иные выплаты населению </t>
  </si>
  <si>
    <t>300</t>
  </si>
  <si>
    <t>Публичные нормативные социальные выплаты гражданам</t>
  </si>
  <si>
    <t>320</t>
  </si>
  <si>
    <t>Физическая культура и спорт</t>
  </si>
  <si>
    <t>11 00</t>
  </si>
  <si>
    <t xml:space="preserve">Физическая культура </t>
  </si>
  <si>
    <t>Муниципальная программа  "Развитие сферы физической культуры и спорта в городском поселении Краснозаводск на 2019-2023 годы"</t>
  </si>
  <si>
    <t>05 0 00 00000</t>
  </si>
  <si>
    <t>Развитие сферы физической культуры и спорта в городском поселении Краснозаводск</t>
  </si>
  <si>
    <t>11 01</t>
  </si>
  <si>
    <t>05 0 00 00010</t>
  </si>
  <si>
    <t>Обеспечение деятельности учреждений физической культуры и спорта</t>
  </si>
  <si>
    <t>Массовый спорт</t>
  </si>
  <si>
    <t>11 02</t>
  </si>
  <si>
    <t xml:space="preserve"> Мероприятия в сфере физической культуры и спорта</t>
  </si>
  <si>
    <t>Федеральный проект "Спорт - норма жизни"</t>
  </si>
  <si>
    <t>05 0 P5 00000</t>
  </si>
  <si>
    <t>Оснащение объектов спортивной инфраструктуры спортивно-технологическим оборудованием</t>
  </si>
  <si>
    <t>05 0 P5 52280</t>
  </si>
  <si>
    <t>Строительно-монтажные работы на территории МБУ СК СТАРТ</t>
  </si>
  <si>
    <t>05 0 00 00030</t>
  </si>
  <si>
    <t>Средства массовой информации</t>
  </si>
  <si>
    <t>12 00</t>
  </si>
  <si>
    <t>12 02</t>
  </si>
  <si>
    <t>Периодическая печать и издательства</t>
  </si>
  <si>
    <t>Опубликование общественной информации в печатных средствах массовой информации</t>
  </si>
  <si>
    <t>99 0 00 09150</t>
  </si>
  <si>
    <t>Обеспечение доступности информации о деятельности органов местного самоуправления и качества муниципальных услуг</t>
  </si>
  <si>
    <t>Обслуживание государственного и муниципального долга</t>
  </si>
  <si>
    <t>13 01</t>
  </si>
  <si>
    <t>99 0 00 01070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</si>
  <si>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</si>
  <si>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</si>
  <si>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700</t>
  </si>
  <si>
    <t>Обслуживание муниципального долга</t>
  </si>
  <si>
    <t>730</t>
  </si>
  <si>
    <t>ВСЕГО РАСХОДОВ</t>
  </si>
  <si>
    <t>Приложение №3</t>
  </si>
  <si>
    <t xml:space="preserve">  от  «07 »ноября  2018 г. №2/70</t>
  </si>
  <si>
    <t>Ведомственная структура расходов бюджета городского поселения Краснозаводск Сергиево-Посадского муниципального района Московской области на 2019 год</t>
  </si>
  <si>
    <t>Рз</t>
  </si>
  <si>
    <t>ПРз</t>
  </si>
  <si>
    <t>Администрация городского поселения Краснозаводск Сергиево-Посадского муниципального района</t>
  </si>
  <si>
    <t>001</t>
  </si>
  <si>
    <t>01</t>
  </si>
  <si>
    <t>02</t>
  </si>
  <si>
    <t>04</t>
  </si>
  <si>
    <t>07</t>
  </si>
  <si>
    <t>11</t>
  </si>
  <si>
    <t>13</t>
  </si>
  <si>
    <t>03</t>
  </si>
  <si>
    <t>Руководство и управление в сфере установленных функций</t>
  </si>
  <si>
    <t>09</t>
  </si>
  <si>
    <t>14</t>
  </si>
  <si>
    <t>01 0 00  00030</t>
  </si>
  <si>
    <t>10</t>
  </si>
  <si>
    <t>12</t>
  </si>
  <si>
    <t>05</t>
  </si>
  <si>
    <t xml:space="preserve">Обеспечение мероприятий по переселению граждан из аварийного жилищного фонда за счет средств местного бюджета Московской области в рамках Адресной программы Московской области «Переселение граждан из аварийного жилищного фонда в Московской области на 2016-2019 годы» </t>
  </si>
  <si>
    <t xml:space="preserve">Финансирование работ по ремонту подъездов за счет субсидии в рамках Государственной программы Московской области "Формирование современной комфортной городской среды" </t>
  </si>
  <si>
    <t xml:space="preserve">Финансирование работ по ремонту подъездов за счет средств местного  бюджета в рамках Государственной программы Московской области "Формирование современной комфортной городской среды" </t>
  </si>
  <si>
    <t>Муниципальная программа  "Доступная среда городского поселения Краснозаводск на период 2019-2023 годы"</t>
  </si>
  <si>
    <t>08</t>
  </si>
  <si>
    <t>00</t>
  </si>
  <si>
    <t>Совет депутатов городского поселения Краснозаводск Сергиево-Посадского муниципального района</t>
  </si>
  <si>
    <t>002</t>
  </si>
  <si>
    <t>Ревизионная комиссия городского поселения Краснозаводск Сергиево-Посадского муниципального района</t>
  </si>
  <si>
    <t>003</t>
  </si>
  <si>
    <t>06</t>
  </si>
  <si>
    <t>005</t>
  </si>
  <si>
    <t>004</t>
  </si>
  <si>
    <t>Приложение № 4</t>
  </si>
  <si>
    <t>к Решению городского поселения</t>
  </si>
  <si>
    <t>муниципального района Московской</t>
  </si>
  <si>
    <t>Приложение № 7</t>
  </si>
  <si>
    <t>Распределение бюджетных ассигнований  по целевым статьям (муниципальным программам и  непрограммным направлениям деятельности), группам и подгруппам видов расходов классификации расходов бюджета городского поселения Краснозаводск Сергиево-Посадского муниципального района Московской области на 2019 год</t>
  </si>
  <si>
    <t xml:space="preserve">Сумма                     </t>
  </si>
  <si>
    <t>Муниципальная  программа  "Обеспечение безопасности жизнедеятельности населения на 2019-2023 годы городского поселения Краснозаводск"</t>
  </si>
  <si>
    <t>04 0 00 00010</t>
  </si>
  <si>
    <t>04 0 00 00030</t>
  </si>
  <si>
    <t>04 0 00 00020</t>
  </si>
  <si>
    <t>Муниципальная программа  "Благоустройство городского поселения Краснозаводск на 2015-2019 годы"</t>
  </si>
  <si>
    <t>Обеспечение чистоты и порядка на территории поселения</t>
  </si>
  <si>
    <t>06 0 00 00010</t>
  </si>
  <si>
    <t>Уличное освещение</t>
  </si>
  <si>
    <t>06 0 00 00020</t>
  </si>
  <si>
    <t xml:space="preserve">Софинансирование  мероприятий по устройству и капитальному ремонту электросетевого хозяйства, систем наружного и архитектурно-художественного освещения по приоритетному проекту "Светлый город" в рамках реализации  Государственной программы Московской области "Формирование современной комфортной городской среды" </t>
  </si>
  <si>
    <t>06 0 00 S2630</t>
  </si>
  <si>
    <t>Озеленение</t>
  </si>
  <si>
    <t>06 0 00 00030</t>
  </si>
  <si>
    <t>Организация и содержание мест захоронения</t>
  </si>
  <si>
    <t>06 0 00 00040</t>
  </si>
  <si>
    <t>06 0 00 00041</t>
  </si>
  <si>
    <t>06 0 00 00042</t>
  </si>
  <si>
    <t>Прочие мероприятия по благоустройству</t>
  </si>
  <si>
    <t>06 0 00 00050</t>
  </si>
  <si>
    <t>06 0 00 00051</t>
  </si>
  <si>
    <t>06 0 00 00052</t>
  </si>
  <si>
    <t xml:space="preserve">Софинансирование приобретения  техники  для нужд благоустройства територрии поселения за счет средств местного  бюджета в рамках Государственной программы Московской области "Формирование современной комфортной городской среды" </t>
  </si>
  <si>
    <t>06 0 00 S1360</t>
  </si>
  <si>
    <t>Федеральный проект " Формирование комфорной городской среды"</t>
  </si>
  <si>
    <t>Муниципальная программа  "Улучшение жилищных условий семей, имеющих семь и более детей и проживающих в городском поселении Краснозаводск на 2019-2023 годы"</t>
  </si>
  <si>
    <t>07 0 00 00000</t>
  </si>
  <si>
    <t xml:space="preserve">Предоставление социальных выплат  семьям, имеющим семь и более детей за счет средств бюджета Московской области и бюджета городского поселения </t>
  </si>
  <si>
    <t>07 0 00 00010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</si>
  <si>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</si>
  <si>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 (софинансирование из местного бюджета)</t>
  </si>
  <si>
    <t xml:space="preserve">Обеспечение мероприятий по переселению граждан из аварийного жилищного фонда за счет средств местного бюджета в рамках Адресной программы Московской области «Переселение граждан из аварийного жилищного фонда в Московской области на 2016-2019 годы» </t>
  </si>
  <si>
    <t>Муниципальная  программа  "Капитальный ремонт общего имущества многоквартирных жилых домов и поддержание надлежащего состояния муниципального жилого фонда городского поселения Краснозаводск на 2015-2019 годы"</t>
  </si>
  <si>
    <t>10 0 00 00000</t>
  </si>
  <si>
    <t>10 0 00 00010</t>
  </si>
  <si>
    <t>Софинансирование мероприятий по капитальному ремонту и замене лифтов</t>
  </si>
  <si>
    <t>10 0 00 00020</t>
  </si>
  <si>
    <t>853</t>
  </si>
  <si>
    <t>Содержание муниципального имущества</t>
  </si>
  <si>
    <t>10 0 00 00030</t>
  </si>
  <si>
    <t xml:space="preserve">Софинансирование работ по ремонту подъездов за счет средств местного  бюджета в рамках Государственной программы Московской области "Формирование современной комфортной городской среды" </t>
  </si>
  <si>
    <t>99 0 00 S0950</t>
  </si>
  <si>
    <t>Оборудование жилых и административных зданий с учетом доступности (пандусы, механические подъемники и другие)</t>
  </si>
  <si>
    <t>12 0 00 00010</t>
  </si>
  <si>
    <t>ИТОГО по муниципальным программам</t>
  </si>
  <si>
    <t>95 0 00 00000</t>
  </si>
  <si>
    <t>95 0 00 04980</t>
  </si>
  <si>
    <t>95 0 00 09000</t>
  </si>
  <si>
    <t>Обеспечение выполнения функций государственными (муниципальными) органами, казенными учреждениями, органами управления внебюджетными фондами</t>
  </si>
  <si>
    <t>99 0 00 02000</t>
  </si>
  <si>
    <t>Приложение № 11</t>
  </si>
  <si>
    <t>План работ, требующих бюджетного финансирования, на территории городского поселения Краснозаводск Сергиево-Посадского муниципального района Московской области на 2019 год</t>
  </si>
  <si>
    <t>№ п/п</t>
  </si>
  <si>
    <t>Описание работ</t>
  </si>
  <si>
    <t>Адрес проведения работ</t>
  </si>
  <si>
    <t>Ориентировочная цена, тыс.руб.</t>
  </si>
  <si>
    <t>0113</t>
  </si>
  <si>
    <t>Муниципальная программа "Развитие земельно-имущественных отношений в городском поселении Краснозаводск на 2019-2022 годы"</t>
  </si>
  <si>
    <t>1.13.1</t>
  </si>
  <si>
    <t>797 0113 1200000010 240</t>
  </si>
  <si>
    <t>797 0113 1200000010 850</t>
  </si>
  <si>
    <t>Оплата НДС с продаж имущества физическим лицам</t>
  </si>
  <si>
    <t>1.13.2</t>
  </si>
  <si>
    <t>Оплата кредиторской задолженности за ремонт муниципальной квартиры в 2018 году (ул.Новая 3-106)</t>
  </si>
  <si>
    <t>НАЦИОНАЛЬНАЯ ЭКОНОМИКА</t>
  </si>
  <si>
    <t>0400</t>
  </si>
  <si>
    <t>Дорожное хозяйство ( Дорожные фонды), всего</t>
  </si>
  <si>
    <t>Муниципальная программа  "Развитие и функционирование дорожно-транспортного комплекса городского поселения Краснозаводск на 2019-2022 годы"</t>
  </si>
  <si>
    <t>Содержание дорог</t>
  </si>
  <si>
    <t>4.9.1</t>
  </si>
  <si>
    <t>797 0409 0200000020 240</t>
  </si>
  <si>
    <t>Содержание автомобильных дорог</t>
  </si>
  <si>
    <t>По территории городского поселения Краснозаводск</t>
  </si>
  <si>
    <t>4.9.2</t>
  </si>
  <si>
    <t>Содержание  автобусных остановок</t>
  </si>
  <si>
    <t>4.9.3</t>
  </si>
  <si>
    <t>Содержание парковочных карманов</t>
  </si>
  <si>
    <t>4.9.4</t>
  </si>
  <si>
    <t>Содержание тротуаров</t>
  </si>
  <si>
    <t>4.9.5</t>
  </si>
  <si>
    <t>797 0409 0200000010 240</t>
  </si>
  <si>
    <t>Оплата кредиторской задолженности по ремонту автодорог в 2018 году</t>
  </si>
  <si>
    <t>4.9.6</t>
  </si>
  <si>
    <t>797 0409 02000S0240 240</t>
  </si>
  <si>
    <t>ул. Театральная-50 лет Октября</t>
  </si>
  <si>
    <t>4.9.9</t>
  </si>
  <si>
    <t xml:space="preserve">Экспертиза качества выполненных работ по капитальному ремонту и ремонту автомобильных дорог общего пользования населенных пунктов  </t>
  </si>
  <si>
    <t>4.9.10</t>
  </si>
  <si>
    <t>Перенос автобусного павильона на автомобильной дороге</t>
  </si>
  <si>
    <t>ул. Театральная</t>
  </si>
  <si>
    <t>4.9.11</t>
  </si>
  <si>
    <t xml:space="preserve">Приведение в нормативное состояние автомобильной дороги </t>
  </si>
  <si>
    <t>в районе ул. Овражная</t>
  </si>
  <si>
    <t>4.9.12</t>
  </si>
  <si>
    <t>4.9.13</t>
  </si>
  <si>
    <t xml:space="preserve">Экспертиза качества выполненных работ по укладки асфальтового покрытия </t>
  </si>
  <si>
    <t>во дворе д.3 по ул. 50 лет Октября</t>
  </si>
  <si>
    <t>4.9.7</t>
  </si>
  <si>
    <t>797 0409 0610100010 240</t>
  </si>
  <si>
    <t xml:space="preserve">Финансирование работ по  комплексному благоустройству дворовых территорий  населенных пунктов  в рамках Государственной программы Московской области "Формирование современной комфортной городской среды" </t>
  </si>
  <si>
    <t>4.9.8</t>
  </si>
  <si>
    <t>797 0409 061F2S2740 240</t>
  </si>
  <si>
    <t xml:space="preserve">Финансирование работ по  ремонту   дворовых территорий </t>
  </si>
  <si>
    <t>4.10.1</t>
  </si>
  <si>
    <t>797 0410 06401S0940 240</t>
  </si>
  <si>
    <t>0412</t>
  </si>
  <si>
    <t>4.12.1</t>
  </si>
  <si>
    <t>797 0412 1200000010 240</t>
  </si>
  <si>
    <t>Формирование земельных участков  на территории  городского поселения</t>
  </si>
  <si>
    <t>0500</t>
  </si>
  <si>
    <t>0501</t>
  </si>
  <si>
    <t>5.1.3</t>
  </si>
  <si>
    <t>797 0501 0800009602 240</t>
  </si>
  <si>
    <t xml:space="preserve">Обеспечение мероприятий по переселению граждан из аварийного жилищного фонда за счет субсидии из бюджета Московской области и за счет средств местного бюджета в рамках Адресной программы Московской области «Переселение граждан из аварийного жилищного фонда в Московской области на 2016-2019 годы» </t>
  </si>
  <si>
    <t>797 0501 08000S9602 240</t>
  </si>
  <si>
    <t>5.1.4</t>
  </si>
  <si>
    <t>797 0501 1100000010 240</t>
  </si>
  <si>
    <t>5.13.22</t>
  </si>
  <si>
    <t>797 0501 0630200020 240</t>
  </si>
  <si>
    <t>Взнос региональному оператору за капитальный ремонт муниципального жилищного фонда</t>
  </si>
  <si>
    <t>5.13.23</t>
  </si>
  <si>
    <t>797 0501 0630200030 240</t>
  </si>
  <si>
    <t>Содержание незаселенного муниципального жилищного фонда</t>
  </si>
  <si>
    <t>5.13.24</t>
  </si>
  <si>
    <t>Экспертиза конструктивных элементов МЖД</t>
  </si>
  <si>
    <t>ул. Горького д.3,5,14,25,27, Строителей 10, 1 Мая 2</t>
  </si>
  <si>
    <t>5.13.25</t>
  </si>
  <si>
    <t>797 0501 06301S0950 240</t>
  </si>
  <si>
    <t xml:space="preserve">Финансирование работ по ремонту подъездов за счет субсидии и за счет средств местного бюджета в рамках Государственной программы Московской области "Формирование современной комфортной городской среды" </t>
  </si>
  <si>
    <t>5.13.26</t>
  </si>
  <si>
    <t xml:space="preserve">797 0501 0630200020 240 </t>
  </si>
  <si>
    <t>Снос и утилизация расселенных аварийных домов</t>
  </si>
  <si>
    <t>5.13.27</t>
  </si>
  <si>
    <t xml:space="preserve"> между подъездом и квартирой №7 многоквартирного жилого дома №7 по улице Трудовые резервы </t>
  </si>
  <si>
    <t>0502</t>
  </si>
  <si>
    <t>5.2.1</t>
  </si>
  <si>
    <t>797 0502 0300000010 240</t>
  </si>
  <si>
    <t>Оплата кредиторской задолженности за выполненные работы в 2018 году</t>
  </si>
  <si>
    <t>Ремонт розлива ХВС, Ремонт кровли котельной №3</t>
  </si>
  <si>
    <t>5.2.2</t>
  </si>
  <si>
    <t>Обследование скважины</t>
  </si>
  <si>
    <t>ВЗУ-3  скв.№8</t>
  </si>
  <si>
    <t>5.2.3</t>
  </si>
  <si>
    <t>Восстановление  скважины</t>
  </si>
  <si>
    <t>5.2.4</t>
  </si>
  <si>
    <t>Капитальный ремонт здания</t>
  </si>
  <si>
    <t>КНС ул. Новая</t>
  </si>
  <si>
    <t>5.2.5</t>
  </si>
  <si>
    <t>Финансирование работ по ремонту тепловой сети от здания бойлерной до стадиона</t>
  </si>
  <si>
    <t>5.2.6</t>
  </si>
  <si>
    <t>Закупка насосного агрегата</t>
  </si>
  <si>
    <t>0503</t>
  </si>
  <si>
    <t>5.31.1</t>
  </si>
  <si>
    <t>5.31.2</t>
  </si>
  <si>
    <t>Оплата эл. энергии за уличное освещение( согласно потребленного объема)</t>
  </si>
  <si>
    <t>5.31.3</t>
  </si>
  <si>
    <t>Реконструкция и прокладка линии электроснабжения</t>
  </si>
  <si>
    <t>Рекреационная зона мкр. Возрождение</t>
  </si>
  <si>
    <t>5.31.4</t>
  </si>
  <si>
    <t>На исполнение обязательств  Муниципального унитарного предприятия «Краснозаводская коммунальная компания» (принципал) по оплате потребленных энергоресурсов с целью бесперебойного обеспечения коммунальными ресурсами населения городского поселения Краснозаводск, без права регрессного требования гаранта к принципалу</t>
  </si>
  <si>
    <t>03 0 00 00020</t>
  </si>
  <si>
    <t>5.2.7</t>
  </si>
  <si>
    <t>797 0502 0300000020 840</t>
  </si>
  <si>
    <t>5.2.8</t>
  </si>
  <si>
    <t>Фильтрация воды ГВС и отопления на обратке в котельной №3</t>
  </si>
  <si>
    <t>Ремонт автомобильных дорог, тротуаров, устройство парковок. Установка новых автобусных остановок, замена и ремонт старых. Приобретение дорожных знаков.</t>
  </si>
  <si>
    <t>4.9.14</t>
  </si>
  <si>
    <t>Оплата штрафов</t>
  </si>
  <si>
    <t>5.2.9</t>
  </si>
  <si>
    <t>Монтаж бака-аккумулятора объемом 80 куб.м. на котельной в дер.Семенково</t>
  </si>
  <si>
    <t>5.32.33</t>
  </si>
  <si>
    <t>в районе дома №3 по ул.50 лет Октября</t>
  </si>
  <si>
    <t>1.13.3</t>
  </si>
  <si>
    <t>Ремонт бани</t>
  </si>
  <si>
    <t>ул.Строителей, д.20</t>
  </si>
  <si>
    <t>5.32.34</t>
  </si>
  <si>
    <t>Ремонт освещения на детских площадках</t>
  </si>
  <si>
    <t>ул.50 лет Октября д.3, ул.Новая д.1</t>
  </si>
  <si>
    <t>Ремонтные работы по укреплению несущей стены  (за счет средств резервного фонда)</t>
  </si>
  <si>
    <t>5.13.29</t>
  </si>
  <si>
    <t>5.13.30</t>
  </si>
  <si>
    <t>5.13.31</t>
  </si>
  <si>
    <t>Ремонт отмостки (за счет средств резервного фонда)</t>
  </si>
  <si>
    <t>у домов №1-9 по ул.40 лет Победы</t>
  </si>
  <si>
    <t>у домов №5-9, 18, 19 в д.Семенково</t>
  </si>
  <si>
    <t>у дома №3 по ул.50 лет Октября</t>
  </si>
  <si>
    <t>Приложение № 3</t>
  </si>
  <si>
    <t>5.32.50</t>
  </si>
  <si>
    <t>Приведение в нормативное состояние контейнерных площадок</t>
  </si>
  <si>
    <t xml:space="preserve">Перенос эл.кабеля  </t>
  </si>
  <si>
    <t xml:space="preserve">     Приложение № 1</t>
  </si>
  <si>
    <t xml:space="preserve">     к Решению городского поселения </t>
  </si>
  <si>
    <t xml:space="preserve">     Краснозаводск Сергиево-Посадского</t>
  </si>
  <si>
    <t xml:space="preserve">     муниципального района Московской области</t>
  </si>
  <si>
    <t xml:space="preserve">     от  «07 »ноября  2018 г. №2/70</t>
  </si>
  <si>
    <t xml:space="preserve">Поступления доходов в бюджет городского поселения Краснозаводск Сергиево-Посадского муниципального района Московской области на 2019 год </t>
  </si>
  <si>
    <t>Коды</t>
  </si>
  <si>
    <t>НАЛОГОВЫЕ  И НЕНАЛОГОВЫЕ ДОХОДЫ</t>
  </si>
  <si>
    <t>000 1 00 00000 00 0000 000</t>
  </si>
  <si>
    <t>НАЛОГОВЫЕ ДОХОДЫ</t>
  </si>
  <si>
    <t>000 1 01 02000 01 0000 110</t>
  </si>
  <si>
    <t>Налог на доходы 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</si>
  <si>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</si>
  <si>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</si>
  <si>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</si>
  <si>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</si>
  <si>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</si>
  <si>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</si>
  <si>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</si>
  <si>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</si>
  <si>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</si>
  <si>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</si>
  <si>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000 1 06 00000 00 0000 000 </t>
  </si>
  <si>
    <t>НАЛОГИ НА ИМУЩЕСТВО</t>
  </si>
  <si>
    <t xml:space="preserve">000 1 06 01000 13 0000 110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</si>
  <si>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</si>
  <si>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000 1 06 06000 13 0000 110 </t>
  </si>
  <si>
    <t>Земельный налог</t>
  </si>
  <si>
    <t>000 1 09 00000 00 0000 110</t>
  </si>
  <si>
    <t>ЗАДОЛЖЕННОСТЬ И ПЕРЕРАСЧЕТЫ ПО ОТМЕНЕННЫМ НАЛОГАМ, СБОРАМ И ИНЫМ ОБЯЗАТЕЛЬНЫМ ПЛАТЕЖАМ</t>
  </si>
  <si>
    <t>000 1 09 04053 00 0000 110</t>
  </si>
  <si>
    <t>Земельный налог (по обязательствам, возникшим до 1 января 2006 года), мобилизуемый на территориях городских  поселений</t>
  </si>
  <si>
    <t>НЕНАЛОГОВЫЕ ДОХОДЫ</t>
  </si>
  <si>
    <t>000 1 11 00000 00 0000 000</t>
  </si>
  <si>
    <t>ДОХОДЫ ОТ ИСПОЛЬЗОВАНИЯ ИМУЩЕСТВА, НАХОДЯЩЕГОСЯ  В ГОСУДАРСТВЕННОЙ И МУНИЦИПАЛЬНОЙ СОБСТВЕННОСТИ</t>
  </si>
  <si>
    <t xml:space="preserve">000 1 11 05013 00 0000 120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</si>
  <si>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</si>
  <si>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000 1 11 05025 13 0000 120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</si>
  <si>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</si>
  <si>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000 1 11 05075 13 0000 120</t>
  </si>
  <si>
    <t xml:space="preserve"> Доходы от сдачи в аренду имущества, составляющего казну поселения (за исключением земельных участков)</t>
  </si>
  <si>
    <t>000 1 13 01995 13 0000 130</t>
  </si>
  <si>
    <t>Прочие доходы от оказания платных услуг (работ) получателями средств бюджетов городских поселений</t>
  </si>
  <si>
    <t xml:space="preserve">000 1 14 00000 00 0000 000 </t>
  </si>
  <si>
    <t>ДОХОДЫ ОТ ПРОДАЖИ МАТЕРИАЛЬНЫХ И НЕМАТЕРИАЛЬНЫХ АКТИВОВ</t>
  </si>
  <si>
    <t>000 1 14 02053 13 0000 410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</si>
  <si>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</si>
  <si>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000 1 14 06013 00 0000 430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</si>
  <si>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
</t>
  </si>
  <si>
    <t>000 1 14 06025 13 0000 430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</si>
  <si>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</si>
  <si>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 xml:space="preserve">000 2 02 00000 00 0000 000 </t>
  </si>
  <si>
    <t>БЕЗВОЗМЕЗДНЫЕ ПОСТУПЛЕНИЯ ОТ ДРУГИХ  БЮДЖЕТОВ БЮДЖЕТНОЙ СИСТЕМЫ РОССИЙСКОЙ ФЕДЕРАЦИИ</t>
  </si>
  <si>
    <t>000 2 02 10000 00 0000 150</t>
  </si>
  <si>
    <t>Дотации бюджетам бюджетной системы Российской Федерации</t>
  </si>
  <si>
    <t>000 2 02 15001  13 0000 150</t>
  </si>
  <si>
    <t>Дотации бюджетам городских поселений на выравнивание бюджетной обеспеченности</t>
  </si>
  <si>
    <t>000 2 02 20000 00 0000 150</t>
  </si>
  <si>
    <t>Субсидии бюджетам бюджетной системы Российской Федерации (межбюджетные субсидии)</t>
  </si>
  <si>
    <t>000 2 02 20216 13 0000 150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</si>
  <si>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</si>
  <si>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000 2 02 20302 13 0000 150</t>
  </si>
  <si>
    <t>Субсидии бюджетам городских поселений на обеспечение мероприятий по переселению граждан из аварийного жилищного фонда, 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</si>
  <si>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000 2 02 25228 13 0000 150</t>
  </si>
  <si>
    <t>Субсидии бюджетам городских поселений  на оснащение объектов споривной инфраструктуры спортивно-технологическим оборудованием</t>
  </si>
  <si>
    <t>000 2 02 25555 13 0000 150</t>
  </si>
  <si>
    <t>Субсидии бюджетам городских поселений на реализацию программ формирования современной городской среды</t>
  </si>
  <si>
    <t>000 2 02 29999 13 0000 150</t>
  </si>
  <si>
    <t>Прочие субсидии бюджетам городских поселений</t>
  </si>
  <si>
    <t>000 2 02 30000 00 0000 150</t>
  </si>
  <si>
    <t xml:space="preserve">Субвенции  бюджетам бюджетной системы Российской Федерации </t>
  </si>
  <si>
    <t>000 2 02 35118 13 0000 150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</si>
  <si>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</si>
  <si>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</si>
  <si>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 городских поселений</t>
  </si>
  <si>
    <t xml:space="preserve">Всего доходов </t>
  </si>
  <si>
    <t xml:space="preserve">000 1 05 00000 00 0000 000 </t>
  </si>
  <si>
    <t>НАЛОГИ НА СОВОКУПНЫЙ ДОХОД</t>
  </si>
  <si>
    <t xml:space="preserve">000 1 05 03010 01 0000 110 </t>
  </si>
  <si>
    <t>Единый сельскохозяйственный налог</t>
  </si>
  <si>
    <t>000 1 14 06313 13 0000 430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</si>
  <si>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</si>
  <si>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000 1 16 90050 13 0000 140</t>
  </si>
  <si>
    <t>ШТРАФЫ, САНКЦИИ, ВОЗМЕЩЕНИЕ УЩЕРБА</t>
  </si>
  <si>
    <t>000 1 17 05050 13 0000 180</t>
  </si>
  <si>
    <t xml:space="preserve">ПРОЧИЕ НЕНАЛОГОВЫЕ ДОХОДЫ </t>
  </si>
  <si>
    <t>Приложение № 5</t>
  </si>
  <si>
    <t>Источники внутреннего финансирования дефицита бюджета на 2019 год</t>
  </si>
  <si>
    <t>КОД</t>
  </si>
  <si>
    <t>Дефицит бюджета городского поселения Краснозаводск  Сергиево-Посадского муниципального района</t>
  </si>
  <si>
    <t xml:space="preserve">Кредиты кредитных организаций в валюте Российской Федерации </t>
  </si>
  <si>
    <t>000 0102 00 00 00 0000 000</t>
  </si>
  <si>
    <t xml:space="preserve">Получение кредитов от кредитных организаций в валюте Российской Федерации </t>
  </si>
  <si>
    <t xml:space="preserve">000 0102 00 00 00 0000 700 </t>
  </si>
  <si>
    <t xml:space="preserve">Получение кредитов от кредитных организаций бюджетами поселений  в валюте Российской Федерации </t>
  </si>
  <si>
    <t xml:space="preserve">797 0102 00 00 10 0000 710 </t>
  </si>
  <si>
    <t>Погашение кредитов, предоставленных кредитными организациями в валюте Российской Федерации</t>
  </si>
  <si>
    <t xml:space="preserve">000 0102 00 00 00 0000 800 </t>
  </si>
  <si>
    <t>Погашение бюджетами поселений кредитов от кредитных организаций в валюте Российской Федерации</t>
  </si>
  <si>
    <t xml:space="preserve">797 0102 00 0010 0000 810 </t>
  </si>
  <si>
    <t>Бюджетные кредиты от других бюджетов бюджетной системы  Российской Федерации</t>
  </si>
  <si>
    <t xml:space="preserve">000 0103 00 00 00 0000 000 </t>
  </si>
  <si>
    <t>Получение бюджетных кредитов от других бюджетов бюджетной системы Российской Федерации в валюте Российской Федерации</t>
  </si>
  <si>
    <t xml:space="preserve">000 0103 00 00 00 0000 700   </t>
  </si>
  <si>
    <t>Получение кредитов от других бюджетов бюджетной системы Российской Федерации  бюджетами поселений в валюте Российской Федерации</t>
  </si>
  <si>
    <t xml:space="preserve">797 0103 00 00 10 0000 710   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</si>
  <si>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</si>
  <si>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000 0103 00 00 00 0000 800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</si>
  <si>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</si>
  <si>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797 0103 00 00 10 0000 810</t>
  </si>
  <si>
    <t>Изменение остатков средств на счетах по учету средств бюджета</t>
  </si>
  <si>
    <t>000 0105 00 00 00 0000 000</t>
  </si>
  <si>
    <t>Увеличение остатков средств бюджетов</t>
  </si>
  <si>
    <t>000 0105 00 00 00 0000 500</t>
  </si>
  <si>
    <t>Увеличение прочих остатков  денежных средств бюджетов</t>
  </si>
  <si>
    <t>000 0105 02 01 00 0000 510</t>
  </si>
  <si>
    <t>Увеличение прочих остатков денежных средств бюджетов поселений</t>
  </si>
  <si>
    <t>797 0105 02 01 10 0000 510</t>
  </si>
  <si>
    <t>Уменьшение остатков средств бюджетов</t>
  </si>
  <si>
    <t>000 0105 00 00 00 0000 600</t>
  </si>
  <si>
    <t>Уменьшение прочих остатков  денежных средств бюджетов</t>
  </si>
  <si>
    <t>000 0105 02 01 00 0000 610</t>
  </si>
  <si>
    <t>Уменьшение прочих остатков денежных средств бюджетов поселений</t>
  </si>
  <si>
    <t>797 0105 02 01 10 0000 610</t>
  </si>
  <si>
    <t>Приложение № 6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</si>
  <si>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</si>
  <si>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03 0 04 61430</t>
  </si>
  <si>
    <t>5.2.10</t>
  </si>
  <si>
    <t>797 0502 0300461430 810</t>
  </si>
  <si>
    <t>000 2 02 49999 13 0000 150</t>
  </si>
  <si>
    <t>000 2 02 40000 00 0000 150</t>
  </si>
  <si>
    <t xml:space="preserve"> Субсидия муниципальному унитарному предприятию «Краснозаводская коммунальная компания» на возмещение недополученных доходов предприятиям жилищно-коммунального хозяйства для оплаты задолженности за потребленные топливно-энергетические ресурсы (за природный газ – 6 100,0 тыс.рублей, за электроэнергию – 4000,0 тыс.рублей) с целью организации обеспечения надежного теплоснабжения потребителей </t>
  </si>
  <si>
    <t>к Решению Совета депутатов</t>
  </si>
  <si>
    <t xml:space="preserve"> Сергиево-Посадского</t>
  </si>
  <si>
    <t xml:space="preserve">городского округа </t>
  </si>
  <si>
    <t>Московской области</t>
  </si>
  <si>
    <t xml:space="preserve">     к Решению Совета депутатов</t>
  </si>
  <si>
    <t xml:space="preserve">     Сергиево-Посадского</t>
  </si>
  <si>
    <t xml:space="preserve">     городского округа </t>
  </si>
  <si>
    <t xml:space="preserve">     Московской области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</si>
</sst>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00"/>
    <numFmt numFmtId="174" formatCode="0.0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&quot;р.&quot;"/>
    <numFmt numFmtId="181" formatCode="000000"/>
    <numFmt numFmtId="182" formatCode="#,##0.0_ ;\-#,##0.0\ "/>
    <numFmt numFmtId="183" formatCode="#,##0\ &quot;р.&quot;;\-#,##0\ &quot;р.&quot;"/>
    <numFmt numFmtId="184" formatCode="#,##0\ &quot;р.&quot;;[Red]\-#,##0\ &quot;р.&quot;"/>
    <numFmt numFmtId="185" formatCode="#,##0.00\ &quot;р.&quot;;\-#,##0.00\ &quot;р.&quot;"/>
    <numFmt numFmtId="186" formatCode="#,##0.00\ &quot;р.&quot;;[Red]\-#,##0.00\ &quot;р.&quot;"/>
    <numFmt numFmtId="187" formatCode="_-* #,##0\ &quot;р.&quot;_-;\-* #,##0\ &quot;р.&quot;_-;_-* &quot;-&quot;\ &quot;р.&quot;_-;_-@_-"/>
    <numFmt numFmtId="188" formatCode="_-* #,##0\ _р_._-;\-* #,##0\ _р_._-;_-* &quot;-&quot;\ _р_._-;_-@_-"/>
    <numFmt numFmtId="189" formatCode="_-* #,##0.00\ &quot;р.&quot;_-;\-* #,##0.00\ &quot;р.&quot;_-;_-* &quot;-&quot;??\ &quot;р.&quot;_-;_-@_-"/>
    <numFmt numFmtId="190" formatCode="_-* #,##0.00\ _р_._-;\-* #,##0.00\ _р_._-;_-* &quot;-&quot;??\ _р_._-;_-@_-"/>
    <numFmt numFmtId="191" formatCode="_-* #,##0.0_р_._-;\-* #,##0.0_р_._-;_-* &quot;-&quot;??_р_._-;_-@_-"/>
    <numFmt numFmtId="192" formatCode="_-* #,##0_р_._-;\-* #,##0_р_._-;_-* &quot;-&quot;??_р_._-;_-@_-"/>
    <numFmt numFmtId="193" formatCode="#,##0_р_."/>
    <numFmt numFmtId="194" formatCode="#,##0.0_р_."/>
    <numFmt numFmtId="195" formatCode="#,##0.00_р_."/>
    <numFmt numFmtId="196" formatCode="#,##0_ ;\-#,##0\ "/>
    <numFmt numFmtId="197" formatCode="#,##0.00_ ;[Red]\-#,##0.00_ "/>
    <numFmt numFmtId="198" formatCode="0.0%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&quot;$&quot;* #,##0_);_(&quot;$&quot;* \(#,##0\);_(&quot;$&quot;* &quot;-&quot;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* #,##0.00_);_(* \(#,##0.00\);_(* &quot;-&quot;??_);_(@_)"/>
    <numFmt numFmtId="207" formatCode="#,##0.0&quot;р.&quot;"/>
    <numFmt numFmtId="208" formatCode="[$-FC19]d\ mmmm\ yyyy\ &quot;г.&quot;"/>
    <numFmt numFmtId="209" formatCode="[$-419]mmmm\ yyyy;@"/>
    <numFmt numFmtId="210" formatCode="0.00000"/>
    <numFmt numFmtId="211" formatCode="0.000000000"/>
    <numFmt numFmtId="212" formatCode="0.0000"/>
  </numFmts>
  <fonts count="34">
    <font>
      <sz val="10"/>
      <name val="Arial Cyr"/>
      <family val="2"/>
    </font>
    <font>
      <sz val="10"/>
      <name val="Arial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i/>
      <sz val="10"/>
      <name val="Arial Cyr"/>
      <family val="2"/>
    </font>
    <font>
      <b/>
      <u val="single"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"/>
      <family val="1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u val="single"/>
      <sz val="5"/>
      <color indexed="12"/>
      <name val="Arial Cyr"/>
      <family val="0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u val="single"/>
      <sz val="5"/>
      <color indexed="36"/>
      <name val="Arial Cyr"/>
      <family val="0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8"/>
      <name val="Arial Cyr"/>
      <family val="2"/>
    </font>
    <font>
      <sz val="8"/>
      <name val="Segoe UI"/>
      <family val="2"/>
    </font>
  </fonts>
  <fills count="2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5" fillId="19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24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9" fillId="0" borderId="9" applyNumberFormat="0" applyFill="0" applyAlignment="0" applyProtection="0"/>
    <xf numFmtId="0" fontId="1" fillId="0" borderId="0">
      <alignment/>
      <protection/>
    </xf>
    <xf numFmtId="0" fontId="3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24" borderId="0" applyNumberFormat="0" applyBorder="0" applyAlignment="0" applyProtection="0"/>
  </cellStyleXfs>
  <cellXfs count="288">
    <xf numFmtId="0" fontId="0" fillId="0" borderId="0" xfId="0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58" applyNumberFormat="1" applyFont="1" applyFill="1" applyBorder="1" applyAlignment="1">
      <alignment horizontal="right" vertical="center" wrapText="1"/>
      <protection/>
    </xf>
    <xf numFmtId="0" fontId="5" fillId="0" borderId="10" xfId="58" applyFont="1" applyFill="1" applyBorder="1" applyAlignment="1">
      <alignment horizontal="center" vertical="center" wrapText="1"/>
      <protection/>
    </xf>
    <xf numFmtId="49" fontId="5" fillId="0" borderId="10" xfId="58" applyNumberFormat="1" applyFont="1" applyFill="1" applyBorder="1" applyAlignment="1">
      <alignment horizontal="center" vertical="center" wrapText="1"/>
      <protection/>
    </xf>
    <xf numFmtId="0" fontId="6" fillId="0" borderId="10" xfId="60" applyFont="1" applyFill="1" applyBorder="1" applyAlignment="1">
      <alignment horizontal="left" vertical="center" wrapText="1"/>
      <protection/>
    </xf>
    <xf numFmtId="49" fontId="5" fillId="0" borderId="10" xfId="58" applyNumberFormat="1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172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 vertical="center"/>
    </xf>
    <xf numFmtId="173" fontId="5" fillId="0" borderId="0" xfId="0" applyNumberFormat="1" applyFont="1" applyFill="1" applyAlignment="1">
      <alignment horizontal="right" vertical="center"/>
    </xf>
    <xf numFmtId="174" fontId="5" fillId="0" borderId="0" xfId="0" applyNumberFormat="1" applyFont="1" applyFill="1" applyAlignment="1">
      <alignment/>
    </xf>
    <xf numFmtId="175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 wrapText="1"/>
    </xf>
    <xf numFmtId="173" fontId="5" fillId="0" borderId="0" xfId="0" applyNumberFormat="1" applyFont="1" applyFill="1" applyAlignment="1">
      <alignment/>
    </xf>
    <xf numFmtId="174" fontId="5" fillId="0" borderId="0" xfId="0" applyNumberFormat="1" applyFont="1" applyFill="1" applyAlignment="1">
      <alignment/>
    </xf>
    <xf numFmtId="175" fontId="5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right" vertical="center" wrapText="1"/>
    </xf>
    <xf numFmtId="49" fontId="7" fillId="0" borderId="10" xfId="0" applyNumberFormat="1" applyFont="1" applyFill="1" applyBorder="1" applyAlignment="1">
      <alignment horizontal="right" vertical="center" wrapText="1"/>
    </xf>
    <xf numFmtId="172" fontId="7" fillId="0" borderId="10" xfId="0" applyNumberFormat="1" applyFont="1" applyFill="1" applyBorder="1" applyAlignment="1">
      <alignment horizontal="right" vertical="center"/>
    </xf>
    <xf numFmtId="175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horizontal="right" vertical="center"/>
    </xf>
    <xf numFmtId="175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right" vertical="center"/>
    </xf>
    <xf numFmtId="172" fontId="5" fillId="0" borderId="10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right" vertical="center" wrapText="1"/>
    </xf>
    <xf numFmtId="49" fontId="7" fillId="0" borderId="10" xfId="0" applyNumberFormat="1" applyFont="1" applyFill="1" applyBorder="1" applyAlignment="1">
      <alignment wrapText="1"/>
    </xf>
    <xf numFmtId="49" fontId="7" fillId="0" borderId="10" xfId="0" applyNumberFormat="1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wrapText="1"/>
    </xf>
    <xf numFmtId="172" fontId="5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vertical="center" wrapText="1"/>
    </xf>
    <xf numFmtId="172" fontId="5" fillId="0" borderId="10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172" fontId="7" fillId="0" borderId="10" xfId="0" applyNumberFormat="1" applyFont="1" applyFill="1" applyBorder="1" applyAlignment="1">
      <alignment horizontal="right" vertical="center" wrapText="1"/>
    </xf>
    <xf numFmtId="0" fontId="5" fillId="0" borderId="10" xfId="57" applyFont="1" applyFill="1" applyBorder="1" applyAlignment="1">
      <alignment vertical="top" wrapText="1"/>
      <protection/>
    </xf>
    <xf numFmtId="0" fontId="5" fillId="0" borderId="10" xfId="0" applyFont="1" applyFill="1" applyBorder="1" applyAlignment="1">
      <alignment horizontal="left" wrapText="1"/>
    </xf>
    <xf numFmtId="0" fontId="7" fillId="0" borderId="10" xfId="57" applyFont="1" applyFill="1" applyBorder="1" applyAlignment="1">
      <alignment vertical="top" wrapText="1"/>
      <protection/>
    </xf>
    <xf numFmtId="0" fontId="8" fillId="0" borderId="10" xfId="0" applyNumberFormat="1" applyFont="1" applyFill="1" applyBorder="1" applyAlignment="1">
      <alignment horizontal="left" vertical="center" wrapText="1"/>
    </xf>
    <xf numFmtId="0" fontId="5" fillId="0" borderId="10" xfId="62" applyFont="1" applyFill="1" applyBorder="1" applyAlignment="1">
      <alignment horizontal="left" vertical="top" wrapText="1"/>
      <protection/>
    </xf>
    <xf numFmtId="0" fontId="8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right"/>
    </xf>
    <xf numFmtId="49" fontId="7" fillId="0" borderId="10" xfId="57" applyNumberFormat="1" applyFont="1" applyFill="1" applyBorder="1" applyAlignment="1">
      <alignment horizontal="center" wrapText="1"/>
      <protection/>
    </xf>
    <xf numFmtId="49" fontId="7" fillId="0" borderId="10" xfId="57" applyNumberFormat="1" applyFont="1" applyFill="1" applyBorder="1" applyAlignment="1">
      <alignment horizontal="right" wrapText="1"/>
      <protection/>
    </xf>
    <xf numFmtId="172" fontId="7" fillId="0" borderId="10" xfId="0" applyNumberFormat="1" applyFont="1" applyFill="1" applyBorder="1" applyAlignment="1">
      <alignment vertical="center" wrapText="1"/>
    </xf>
    <xf numFmtId="175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72" fontId="8" fillId="0" borderId="10" xfId="0" applyNumberFormat="1" applyFont="1" applyFill="1" applyBorder="1" applyAlignment="1">
      <alignment vertical="center" wrapText="1"/>
    </xf>
    <xf numFmtId="172" fontId="8" fillId="0" borderId="0" xfId="0" applyNumberFormat="1" applyFont="1" applyFill="1" applyAlignment="1">
      <alignment/>
    </xf>
    <xf numFmtId="172" fontId="8" fillId="0" borderId="10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right" vertical="center"/>
    </xf>
    <xf numFmtId="49" fontId="6" fillId="0" borderId="10" xfId="0" applyNumberFormat="1" applyFont="1" applyFill="1" applyBorder="1" applyAlignment="1">
      <alignment wrapText="1"/>
    </xf>
    <xf numFmtId="172" fontId="6" fillId="0" borderId="10" xfId="0" applyNumberFormat="1" applyFont="1" applyFill="1" applyBorder="1" applyAlignment="1">
      <alignment vertical="center" wrapText="1"/>
    </xf>
    <xf numFmtId="175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75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9" fontId="9" fillId="0" borderId="10" xfId="0" applyNumberFormat="1" applyFont="1" applyFill="1" applyBorder="1" applyAlignment="1">
      <alignment wrapText="1"/>
    </xf>
    <xf numFmtId="175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9" fontId="9" fillId="0" borderId="11" xfId="0" applyNumberFormat="1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 wrapText="1"/>
    </xf>
    <xf numFmtId="172" fontId="5" fillId="0" borderId="0" xfId="0" applyNumberFormat="1" applyFont="1" applyFill="1" applyAlignment="1">
      <alignment horizontal="right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vertical="center"/>
    </xf>
    <xf numFmtId="172" fontId="7" fillId="0" borderId="10" xfId="0" applyNumberFormat="1" applyFont="1" applyFill="1" applyBorder="1" applyAlignment="1">
      <alignment vertical="center"/>
    </xf>
    <xf numFmtId="172" fontId="6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/>
    </xf>
    <xf numFmtId="172" fontId="6" fillId="0" borderId="10" xfId="0" applyNumberFormat="1" applyFont="1" applyFill="1" applyBorder="1" applyAlignment="1">
      <alignment/>
    </xf>
    <xf numFmtId="172" fontId="5" fillId="0" borderId="10" xfId="0" applyNumberFormat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wrapText="1"/>
    </xf>
    <xf numFmtId="49" fontId="8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/>
    </xf>
    <xf numFmtId="49" fontId="6" fillId="0" borderId="12" xfId="0" applyNumberFormat="1" applyFont="1" applyFill="1" applyBorder="1" applyAlignment="1">
      <alignment horizontal="left"/>
    </xf>
    <xf numFmtId="172" fontId="6" fillId="0" borderId="10" xfId="0" applyNumberFormat="1" applyFont="1" applyFill="1" applyBorder="1" applyAlignment="1">
      <alignment wrapText="1"/>
    </xf>
    <xf numFmtId="172" fontId="5" fillId="0" borderId="10" xfId="0" applyNumberFormat="1" applyFont="1" applyFill="1" applyBorder="1" applyAlignment="1">
      <alignment horizontal="center" wrapText="1"/>
    </xf>
    <xf numFmtId="49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172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center" vertical="center"/>
    </xf>
    <xf numFmtId="172" fontId="5" fillId="0" borderId="0" xfId="0" applyNumberFormat="1" applyFont="1" applyFill="1" applyAlignment="1">
      <alignment horizontal="right" vertical="center" wrapText="1"/>
    </xf>
    <xf numFmtId="0" fontId="5" fillId="0" borderId="0" xfId="0" applyFont="1" applyFill="1" applyBorder="1" applyAlignment="1">
      <alignment horizontal="justify"/>
    </xf>
    <xf numFmtId="49" fontId="5" fillId="0" borderId="0" xfId="0" applyNumberFormat="1" applyFont="1" applyFill="1" applyBorder="1" applyAlignment="1">
      <alignment horizontal="justify"/>
    </xf>
    <xf numFmtId="49" fontId="5" fillId="0" borderId="0" xfId="0" applyNumberFormat="1" applyFont="1" applyFill="1" applyBorder="1" applyAlignment="1">
      <alignment horizontal="center"/>
    </xf>
    <xf numFmtId="172" fontId="5" fillId="0" borderId="0" xfId="0" applyNumberFormat="1" applyFont="1" applyFill="1" applyBorder="1" applyAlignment="1">
      <alignment horizontal="right"/>
    </xf>
    <xf numFmtId="0" fontId="11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172" fontId="5" fillId="0" borderId="0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172" fontId="5" fillId="0" borderId="13" xfId="0" applyNumberFormat="1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left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172" fontId="5" fillId="0" borderId="14" xfId="0" applyNumberFormat="1" applyFont="1" applyFill="1" applyBorder="1" applyAlignment="1">
      <alignment horizontal="right" vertical="center" wrapText="1"/>
    </xf>
    <xf numFmtId="0" fontId="11" fillId="0" borderId="15" xfId="0" applyFont="1" applyFill="1" applyBorder="1" applyAlignment="1">
      <alignment horizontal="left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172" fontId="6" fillId="0" borderId="17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wrapText="1"/>
    </xf>
    <xf numFmtId="172" fontId="8" fillId="0" borderId="14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/>
    </xf>
    <xf numFmtId="172" fontId="6" fillId="0" borderId="10" xfId="0" applyNumberFormat="1" applyFont="1" applyFill="1" applyBorder="1" applyAlignment="1">
      <alignment/>
    </xf>
    <xf numFmtId="172" fontId="5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left"/>
    </xf>
    <xf numFmtId="49" fontId="5" fillId="0" borderId="10" xfId="0" applyNumberFormat="1" applyFont="1" applyFill="1" applyBorder="1" applyAlignment="1">
      <alignment/>
    </xf>
    <xf numFmtId="172" fontId="6" fillId="0" borderId="10" xfId="0" applyNumberFormat="1" applyFont="1" applyFill="1" applyBorder="1" applyAlignment="1">
      <alignment horizontal="right"/>
    </xf>
    <xf numFmtId="49" fontId="5" fillId="0" borderId="0" xfId="58" applyNumberFormat="1" applyFont="1" applyFill="1" applyAlignment="1">
      <alignment horizontal="right" vertical="center"/>
      <protection/>
    </xf>
    <xf numFmtId="49" fontId="5" fillId="0" borderId="0" xfId="58" applyNumberFormat="1" applyFont="1" applyFill="1" applyAlignment="1">
      <alignment vertical="center"/>
      <protection/>
    </xf>
    <xf numFmtId="0" fontId="5" fillId="0" borderId="0" xfId="58" applyFont="1" applyFill="1" applyAlignment="1">
      <alignment horizontal="left" vertical="center"/>
      <protection/>
    </xf>
    <xf numFmtId="174" fontId="5" fillId="0" borderId="0" xfId="58" applyNumberFormat="1" applyFont="1" applyFill="1" applyAlignment="1">
      <alignment horizontal="right" vertical="center"/>
      <protection/>
    </xf>
    <xf numFmtId="4" fontId="5" fillId="0" borderId="0" xfId="58" applyNumberFormat="1" applyFont="1" applyFill="1" applyAlignment="1">
      <alignment horizontal="left" vertical="center"/>
      <protection/>
    </xf>
    <xf numFmtId="0" fontId="5" fillId="0" borderId="0" xfId="58" applyFont="1" applyFill="1">
      <alignment/>
      <protection/>
    </xf>
    <xf numFmtId="4" fontId="5" fillId="0" borderId="0" xfId="58" applyNumberFormat="1" applyFont="1" applyFill="1">
      <alignment/>
      <protection/>
    </xf>
    <xf numFmtId="49" fontId="12" fillId="0" borderId="14" xfId="58" applyNumberFormat="1" applyFont="1" applyFill="1" applyBorder="1" applyAlignment="1">
      <alignment horizontal="right" vertical="center" wrapText="1"/>
      <protection/>
    </xf>
    <xf numFmtId="49" fontId="12" fillId="0" borderId="14" xfId="58" applyNumberFormat="1" applyFont="1" applyFill="1" applyBorder="1" applyAlignment="1">
      <alignment horizontal="center" vertical="center" wrapText="1"/>
      <protection/>
    </xf>
    <xf numFmtId="0" fontId="13" fillId="0" borderId="10" xfId="58" applyFont="1" applyFill="1" applyBorder="1" applyAlignment="1">
      <alignment horizontal="left" vertical="center" wrapText="1"/>
      <protection/>
    </xf>
    <xf numFmtId="174" fontId="13" fillId="0" borderId="10" xfId="58" applyNumberFormat="1" applyFont="1" applyFill="1" applyBorder="1" applyAlignment="1">
      <alignment horizontal="left" vertical="center" wrapText="1"/>
      <protection/>
    </xf>
    <xf numFmtId="4" fontId="12" fillId="0" borderId="0" xfId="58" applyNumberFormat="1" applyFont="1" applyFill="1">
      <alignment/>
      <protection/>
    </xf>
    <xf numFmtId="0" fontId="12" fillId="0" borderId="0" xfId="58" applyFont="1" applyFill="1">
      <alignment/>
      <protection/>
    </xf>
    <xf numFmtId="0" fontId="5" fillId="0" borderId="10" xfId="58" applyFont="1" applyFill="1" applyBorder="1" applyAlignment="1">
      <alignment horizontal="left" vertical="center" wrapText="1"/>
      <protection/>
    </xf>
    <xf numFmtId="172" fontId="6" fillId="0" borderId="10" xfId="58" applyNumberFormat="1" applyFont="1" applyFill="1" applyBorder="1" applyAlignment="1">
      <alignment horizontal="right" wrapText="1"/>
      <protection/>
    </xf>
    <xf numFmtId="4" fontId="9" fillId="0" borderId="0" xfId="58" applyNumberFormat="1" applyFont="1" applyFill="1">
      <alignment/>
      <protection/>
    </xf>
    <xf numFmtId="0" fontId="9" fillId="0" borderId="0" xfId="58" applyFont="1" applyFill="1">
      <alignment/>
      <protection/>
    </xf>
    <xf numFmtId="172" fontId="5" fillId="0" borderId="10" xfId="58" applyNumberFormat="1" applyFont="1" applyFill="1" applyBorder="1" applyAlignment="1">
      <alignment horizontal="right" wrapText="1"/>
      <protection/>
    </xf>
    <xf numFmtId="0" fontId="5" fillId="0" borderId="18" xfId="0" applyFont="1" applyFill="1" applyBorder="1" applyAlignment="1">
      <alignment horizontal="left" vertical="center" wrapText="1"/>
    </xf>
    <xf numFmtId="4" fontId="5" fillId="0" borderId="0" xfId="58" applyNumberFormat="1" applyFont="1" applyFill="1" applyBorder="1" applyAlignment="1">
      <alignment horizontal="right" wrapText="1"/>
      <protection/>
    </xf>
    <xf numFmtId="49" fontId="6" fillId="0" borderId="10" xfId="60" applyNumberFormat="1" applyFont="1" applyFill="1" applyBorder="1" applyAlignment="1">
      <alignment horizontal="center" vertical="center" wrapText="1"/>
      <protection/>
    </xf>
    <xf numFmtId="172" fontId="5" fillId="0" borderId="0" xfId="58" applyNumberFormat="1" applyFont="1" applyFill="1">
      <alignment/>
      <protection/>
    </xf>
    <xf numFmtId="172" fontId="6" fillId="0" borderId="10" xfId="60" applyNumberFormat="1" applyFont="1" applyFill="1" applyBorder="1" applyAlignment="1">
      <alignment horizontal="right" wrapText="1"/>
      <protection/>
    </xf>
    <xf numFmtId="0" fontId="6" fillId="0" borderId="10" xfId="60" applyFont="1" applyFill="1" applyBorder="1" applyAlignment="1">
      <alignment horizontal="right" vertical="center" wrapText="1"/>
      <protection/>
    </xf>
    <xf numFmtId="49" fontId="5" fillId="0" borderId="10" xfId="58" applyNumberFormat="1" applyFont="1" applyFill="1" applyBorder="1" applyAlignment="1">
      <alignment vertical="center" wrapText="1"/>
      <protection/>
    </xf>
    <xf numFmtId="49" fontId="5" fillId="0" borderId="14" xfId="58" applyNumberFormat="1" applyFont="1" applyFill="1" applyBorder="1" applyAlignment="1">
      <alignment horizontal="center" vertical="center" wrapText="1"/>
      <protection/>
    </xf>
    <xf numFmtId="49" fontId="5" fillId="0" borderId="13" xfId="58" applyNumberFormat="1" applyFont="1" applyFill="1" applyBorder="1" applyAlignment="1">
      <alignment horizontal="right" vertical="center" wrapText="1"/>
      <protection/>
    </xf>
    <xf numFmtId="0" fontId="5" fillId="0" borderId="13" xfId="0" applyNumberFormat="1" applyFont="1" applyFill="1" applyBorder="1" applyAlignment="1">
      <alignment horizontal="left" vertical="center" wrapText="1"/>
    </xf>
    <xf numFmtId="0" fontId="5" fillId="0" borderId="13" xfId="58" applyFont="1" applyFill="1" applyBorder="1" applyAlignment="1">
      <alignment horizontal="center" vertical="center" wrapText="1"/>
      <protection/>
    </xf>
    <xf numFmtId="0" fontId="5" fillId="0" borderId="13" xfId="58" applyFont="1" applyFill="1" applyBorder="1" applyAlignment="1">
      <alignment vertical="center" wrapText="1"/>
      <protection/>
    </xf>
    <xf numFmtId="49" fontId="5" fillId="0" borderId="12" xfId="58" applyNumberFormat="1" applyFont="1" applyFill="1" applyBorder="1" applyAlignment="1">
      <alignment horizontal="right" vertical="center" wrapText="1"/>
      <protection/>
    </xf>
    <xf numFmtId="49" fontId="5" fillId="0" borderId="19" xfId="58" applyNumberFormat="1" applyFont="1" applyFill="1" applyBorder="1" applyAlignment="1">
      <alignment horizontal="right" vertical="center" wrapText="1"/>
      <protection/>
    </xf>
    <xf numFmtId="49" fontId="5" fillId="0" borderId="14" xfId="58" applyNumberFormat="1" applyFont="1" applyFill="1" applyBorder="1" applyAlignment="1">
      <alignment horizontal="center" vertical="center"/>
      <protection/>
    </xf>
    <xf numFmtId="172" fontId="5" fillId="0" borderId="10" xfId="58" applyNumberFormat="1" applyFont="1" applyFill="1" applyBorder="1" applyAlignment="1">
      <alignment horizontal="right" vertical="center" wrapText="1"/>
      <protection/>
    </xf>
    <xf numFmtId="0" fontId="5" fillId="0" borderId="10" xfId="60" applyFont="1" applyFill="1" applyBorder="1" applyAlignment="1">
      <alignment horizontal="left" vertical="center" wrapText="1"/>
      <protection/>
    </xf>
    <xf numFmtId="49" fontId="5" fillId="0" borderId="10" xfId="60" applyNumberFormat="1" applyFont="1" applyFill="1" applyBorder="1" applyAlignment="1">
      <alignment horizontal="center" vertical="center" wrapText="1"/>
      <protection/>
    </xf>
    <xf numFmtId="172" fontId="5" fillId="0" borderId="10" xfId="60" applyNumberFormat="1" applyFont="1" applyFill="1" applyBorder="1" applyAlignment="1">
      <alignment horizontal="right" wrapText="1"/>
      <protection/>
    </xf>
    <xf numFmtId="49" fontId="6" fillId="0" borderId="14" xfId="58" applyNumberFormat="1" applyFont="1" applyFill="1" applyBorder="1" applyAlignment="1">
      <alignment horizontal="center" vertical="center" wrapText="1"/>
      <protection/>
    </xf>
    <xf numFmtId="172" fontId="5" fillId="0" borderId="10" xfId="58" applyNumberFormat="1" applyFont="1" applyFill="1" applyBorder="1" applyAlignment="1">
      <alignment wrapText="1"/>
      <protection/>
    </xf>
    <xf numFmtId="0" fontId="5" fillId="0" borderId="10" xfId="61" applyFont="1" applyFill="1" applyBorder="1" applyAlignment="1">
      <alignment horizontal="left" vertical="center" wrapText="1"/>
      <protection/>
    </xf>
    <xf numFmtId="172" fontId="5" fillId="0" borderId="10" xfId="61" applyNumberFormat="1" applyFont="1" applyFill="1" applyBorder="1" applyAlignment="1">
      <alignment/>
      <protection/>
    </xf>
    <xf numFmtId="49" fontId="5" fillId="0" borderId="12" xfId="0" applyNumberFormat="1" applyFont="1" applyFill="1" applyBorder="1" applyAlignment="1">
      <alignment horizontal="right" vertical="center" wrapText="1"/>
    </xf>
    <xf numFmtId="0" fontId="5" fillId="0" borderId="10" xfId="58" applyFont="1" applyFill="1" applyBorder="1" applyAlignment="1">
      <alignment vertical="top" wrapText="1"/>
      <protection/>
    </xf>
    <xf numFmtId="172" fontId="5" fillId="0" borderId="10" xfId="58" applyNumberFormat="1" applyFont="1" applyFill="1" applyBorder="1">
      <alignment/>
      <protection/>
    </xf>
    <xf numFmtId="0" fontId="5" fillId="0" borderId="14" xfId="58" applyFont="1" applyFill="1" applyBorder="1" applyAlignment="1">
      <alignment vertical="top" wrapText="1"/>
      <protection/>
    </xf>
    <xf numFmtId="49" fontId="5" fillId="0" borderId="20" xfId="58" applyNumberFormat="1" applyFont="1" applyFill="1" applyBorder="1" applyAlignment="1">
      <alignment horizontal="center" vertical="center" wrapText="1"/>
      <protection/>
    </xf>
    <xf numFmtId="172" fontId="5" fillId="0" borderId="0" xfId="58" applyNumberFormat="1" applyFont="1" applyFill="1" applyBorder="1" applyAlignment="1">
      <alignment horizontal="right" wrapText="1"/>
      <protection/>
    </xf>
    <xf numFmtId="49" fontId="6" fillId="0" borderId="20" xfId="58" applyNumberFormat="1" applyFont="1" applyFill="1" applyBorder="1" applyAlignment="1">
      <alignment horizontal="center" vertical="center" wrapText="1"/>
      <protection/>
    </xf>
    <xf numFmtId="172" fontId="7" fillId="0" borderId="10" xfId="60" applyNumberFormat="1" applyFont="1" applyFill="1" applyBorder="1" applyAlignment="1">
      <alignment horizontal="right" wrapText="1"/>
      <protection/>
    </xf>
    <xf numFmtId="0" fontId="5" fillId="0" borderId="14" xfId="58" applyFont="1" applyFill="1" applyBorder="1" applyAlignment="1">
      <alignment horizontal="center" vertical="center" wrapText="1"/>
      <protection/>
    </xf>
    <xf numFmtId="0" fontId="5" fillId="0" borderId="18" xfId="58" applyFont="1" applyFill="1" applyBorder="1" applyAlignment="1">
      <alignment horizontal="left" vertical="center" wrapText="1"/>
      <protection/>
    </xf>
    <xf numFmtId="0" fontId="5" fillId="0" borderId="14" xfId="58" applyFont="1" applyFill="1" applyBorder="1" applyAlignment="1">
      <alignment horizontal="left" vertical="center" wrapText="1"/>
      <protection/>
    </xf>
    <xf numFmtId="172" fontId="5" fillId="0" borderId="14" xfId="58" applyNumberFormat="1" applyFont="1" applyFill="1" applyBorder="1" applyAlignment="1">
      <alignment horizontal="right" wrapText="1"/>
      <protection/>
    </xf>
    <xf numFmtId="0" fontId="14" fillId="0" borderId="14" xfId="58" applyFont="1" applyFill="1" applyBorder="1" applyAlignment="1">
      <alignment horizontal="left" vertical="center" wrapText="1"/>
      <protection/>
    </xf>
    <xf numFmtId="172" fontId="14" fillId="0" borderId="14" xfId="58" applyNumberFormat="1" applyFont="1" applyFill="1" applyBorder="1" applyAlignment="1">
      <alignment horizontal="right" wrapText="1"/>
      <protection/>
    </xf>
    <xf numFmtId="49" fontId="6" fillId="0" borderId="18" xfId="60" applyNumberFormat="1" applyFont="1" applyFill="1" applyBorder="1" applyAlignment="1">
      <alignment horizontal="center" vertical="center" wrapText="1"/>
      <protection/>
    </xf>
    <xf numFmtId="172" fontId="5" fillId="0" borderId="10" xfId="58" applyNumberFormat="1" applyFont="1" applyFill="1" applyBorder="1" applyAlignment="1">
      <alignment/>
      <protection/>
    </xf>
    <xf numFmtId="172" fontId="6" fillId="0" borderId="10" xfId="58" applyNumberFormat="1" applyFont="1" applyFill="1" applyBorder="1" applyAlignment="1">
      <alignment/>
      <protection/>
    </xf>
    <xf numFmtId="4" fontId="6" fillId="0" borderId="0" xfId="58" applyNumberFormat="1" applyFont="1" applyFill="1">
      <alignment/>
      <protection/>
    </xf>
    <xf numFmtId="0" fontId="6" fillId="0" borderId="0" xfId="58" applyFont="1" applyFill="1">
      <alignment/>
      <protection/>
    </xf>
    <xf numFmtId="0" fontId="5" fillId="0" borderId="10" xfId="62" applyFont="1" applyFill="1" applyBorder="1" applyAlignment="1">
      <alignment horizontal="center" vertical="top" wrapText="1"/>
      <protection/>
    </xf>
    <xf numFmtId="0" fontId="5" fillId="0" borderId="21" xfId="0" applyFont="1" applyFill="1" applyBorder="1" applyAlignment="1">
      <alignment horizontal="left" vertical="top" wrapText="1"/>
    </xf>
    <xf numFmtId="0" fontId="5" fillId="0" borderId="13" xfId="62" applyFont="1" applyFill="1" applyBorder="1" applyAlignment="1">
      <alignment horizontal="left" vertical="top" wrapText="1"/>
      <protection/>
    </xf>
    <xf numFmtId="172" fontId="5" fillId="0" borderId="13" xfId="58" applyNumberFormat="1" applyFont="1" applyFill="1" applyBorder="1" applyAlignment="1">
      <alignment horizontal="right" vertical="center" wrapText="1"/>
      <protection/>
    </xf>
    <xf numFmtId="0" fontId="5" fillId="0" borderId="21" xfId="58" applyFont="1" applyFill="1" applyBorder="1" applyAlignment="1">
      <alignment horizontal="left" vertical="center" wrapText="1"/>
      <protection/>
    </xf>
    <xf numFmtId="172" fontId="5" fillId="0" borderId="13" xfId="58" applyNumberFormat="1" applyFont="1" applyFill="1" applyBorder="1" applyAlignment="1">
      <alignment/>
      <protection/>
    </xf>
    <xf numFmtId="0" fontId="5" fillId="0" borderId="10" xfId="58" applyFont="1" applyFill="1" applyBorder="1">
      <alignment/>
      <protection/>
    </xf>
    <xf numFmtId="0" fontId="5" fillId="0" borderId="10" xfId="0" applyFont="1" applyFill="1" applyBorder="1" applyAlignment="1">
      <alignment horizontal="left" vertical="top" wrapText="1"/>
    </xf>
    <xf numFmtId="4" fontId="5" fillId="0" borderId="0" xfId="58" applyNumberFormat="1" applyFont="1" applyFill="1" applyBorder="1">
      <alignment/>
      <protection/>
    </xf>
    <xf numFmtId="49" fontId="5" fillId="0" borderId="14" xfId="58" applyNumberFormat="1" applyFont="1" applyFill="1" applyBorder="1" applyAlignment="1">
      <alignment horizontal="right" vertical="center" wrapText="1"/>
      <protection/>
    </xf>
    <xf numFmtId="0" fontId="5" fillId="0" borderId="22" xfId="0" applyNumberFormat="1" applyFont="1" applyFill="1" applyBorder="1" applyAlignment="1">
      <alignment horizontal="left" vertical="center" wrapText="1"/>
    </xf>
    <xf numFmtId="0" fontId="5" fillId="0" borderId="10" xfId="58" applyFont="1" applyFill="1" applyBorder="1" applyAlignment="1">
      <alignment vertical="center"/>
      <protection/>
    </xf>
    <xf numFmtId="172" fontId="11" fillId="0" borderId="10" xfId="60" applyNumberFormat="1" applyFont="1" applyFill="1" applyBorder="1" applyAlignment="1">
      <alignment horizontal="right" wrapText="1"/>
      <protection/>
    </xf>
    <xf numFmtId="0" fontId="5" fillId="0" borderId="0" xfId="0" applyFont="1" applyFill="1" applyAlignment="1">
      <alignment horizontal="right"/>
    </xf>
    <xf numFmtId="172" fontId="5" fillId="0" borderId="0" xfId="57" applyNumberFormat="1" applyFont="1" applyFill="1" applyBorder="1" applyAlignment="1">
      <alignment horizontal="right" wrapText="1"/>
      <protection/>
    </xf>
    <xf numFmtId="4" fontId="5" fillId="0" borderId="0" xfId="58" applyNumberFormat="1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174" fontId="5" fillId="0" borderId="0" xfId="58" applyNumberFormat="1" applyFont="1" applyFill="1">
      <alignment/>
      <protection/>
    </xf>
    <xf numFmtId="0" fontId="5" fillId="0" borderId="0" xfId="58" applyFont="1" applyFill="1" applyAlignment="1">
      <alignment horizontal="right"/>
      <protection/>
    </xf>
    <xf numFmtId="172" fontId="5" fillId="0" borderId="0" xfId="58" applyNumberFormat="1" applyFont="1" applyFill="1" applyAlignment="1">
      <alignment horizontal="right" vertical="center"/>
      <protection/>
    </xf>
    <xf numFmtId="172" fontId="9" fillId="0" borderId="0" xfId="58" applyNumberFormat="1" applyFont="1" applyFill="1">
      <alignment/>
      <protection/>
    </xf>
    <xf numFmtId="172" fontId="6" fillId="0" borderId="0" xfId="0" applyNumberFormat="1" applyFont="1" applyFill="1" applyAlignment="1">
      <alignment/>
    </xf>
    <xf numFmtId="172" fontId="5" fillId="0" borderId="0" xfId="0" applyNumberFormat="1" applyFont="1" applyFill="1" applyBorder="1" applyAlignment="1">
      <alignment/>
    </xf>
    <xf numFmtId="49" fontId="5" fillId="0" borderId="23" xfId="58" applyNumberFormat="1" applyFont="1" applyFill="1" applyBorder="1" applyAlignment="1">
      <alignment horizontal="right" vertical="center" wrapText="1"/>
      <protection/>
    </xf>
    <xf numFmtId="0" fontId="5" fillId="0" borderId="23" xfId="0" applyFont="1" applyFill="1" applyBorder="1" applyAlignment="1">
      <alignment horizontal="left" vertical="center" wrapText="1"/>
    </xf>
    <xf numFmtId="172" fontId="5" fillId="0" borderId="14" xfId="58" applyNumberFormat="1" applyFont="1" applyFill="1" applyBorder="1">
      <alignment/>
      <protection/>
    </xf>
    <xf numFmtId="0" fontId="5" fillId="0" borderId="23" xfId="0" applyFont="1" applyFill="1" applyBorder="1" applyAlignment="1">
      <alignment horizontal="left" vertical="top" wrapText="1"/>
    </xf>
    <xf numFmtId="0" fontId="5" fillId="0" borderId="23" xfId="58" applyFont="1" applyFill="1" applyBorder="1">
      <alignment/>
      <protection/>
    </xf>
    <xf numFmtId="0" fontId="9" fillId="0" borderId="23" xfId="0" applyFont="1" applyFill="1" applyBorder="1" applyAlignment="1">
      <alignment horizontal="left" vertical="center" wrapText="1"/>
    </xf>
    <xf numFmtId="210" fontId="5" fillId="0" borderId="0" xfId="0" applyNumberFormat="1" applyFont="1" applyFill="1" applyAlignment="1">
      <alignment/>
    </xf>
    <xf numFmtId="0" fontId="5" fillId="0" borderId="23" xfId="58" applyFont="1" applyFill="1" applyBorder="1" applyAlignment="1">
      <alignment wrapText="1"/>
      <protection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left" indent="15"/>
    </xf>
    <xf numFmtId="172" fontId="6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10" xfId="59" applyFont="1" applyFill="1" applyBorder="1" applyAlignment="1">
      <alignment vertical="top" wrapText="1"/>
      <protection/>
    </xf>
    <xf numFmtId="172" fontId="6" fillId="0" borderId="10" xfId="59" applyNumberFormat="1" applyFont="1" applyFill="1" applyBorder="1" applyAlignment="1">
      <alignment horizontal="right" wrapText="1"/>
      <protection/>
    </xf>
    <xf numFmtId="0" fontId="5" fillId="0" borderId="10" xfId="59" applyFont="1" applyFill="1" applyBorder="1" applyAlignment="1">
      <alignment vertical="top" wrapText="1"/>
      <protection/>
    </xf>
    <xf numFmtId="172" fontId="5" fillId="0" borderId="10" xfId="59" applyNumberFormat="1" applyFont="1" applyFill="1" applyBorder="1" applyAlignment="1">
      <alignment horizontal="right" wrapText="1"/>
      <protection/>
    </xf>
    <xf numFmtId="172" fontId="6" fillId="0" borderId="10" xfId="59" applyNumberFormat="1" applyFont="1" applyFill="1" applyBorder="1" applyAlignment="1">
      <alignment horizontal="right"/>
      <protection/>
    </xf>
    <xf numFmtId="172" fontId="5" fillId="0" borderId="10" xfId="59" applyNumberFormat="1" applyFont="1" applyFill="1" applyBorder="1" applyAlignment="1">
      <alignment horizontal="right"/>
      <protection/>
    </xf>
    <xf numFmtId="0" fontId="5" fillId="0" borderId="10" xfId="59" applyFont="1" applyFill="1" applyBorder="1" applyAlignment="1">
      <alignment horizontal="left" vertical="top" wrapText="1"/>
      <protection/>
    </xf>
    <xf numFmtId="172" fontId="6" fillId="0" borderId="10" xfId="0" applyNumberFormat="1" applyFont="1" applyFill="1" applyBorder="1" applyAlignment="1">
      <alignment horizontal="right" vertical="center"/>
    </xf>
    <xf numFmtId="0" fontId="5" fillId="0" borderId="10" xfId="0" applyNumberFormat="1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justify" vertical="center" wrapText="1"/>
    </xf>
    <xf numFmtId="0" fontId="5" fillId="0" borderId="10" xfId="0" applyNumberFormat="1" applyFont="1" applyFill="1" applyBorder="1" applyAlignment="1">
      <alignment vertical="top" wrapText="1"/>
    </xf>
    <xf numFmtId="172" fontId="5" fillId="0" borderId="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vertical="top" wrapText="1"/>
    </xf>
    <xf numFmtId="4" fontId="5" fillId="0" borderId="22" xfId="58" applyNumberFormat="1" applyFont="1" applyFill="1" applyBorder="1">
      <alignment/>
      <protection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wrapText="1"/>
    </xf>
    <xf numFmtId="49" fontId="6" fillId="0" borderId="10" xfId="0" applyNumberFormat="1" applyFont="1" applyFill="1" applyBorder="1" applyAlignment="1">
      <alignment horizontal="justify" wrapText="1"/>
    </xf>
    <xf numFmtId="49" fontId="5" fillId="0" borderId="10" xfId="0" applyNumberFormat="1" applyFont="1" applyFill="1" applyBorder="1" applyAlignment="1">
      <alignment horizontal="justify" wrapText="1"/>
    </xf>
    <xf numFmtId="174" fontId="5" fillId="0" borderId="10" xfId="0" applyNumberFormat="1" applyFont="1" applyFill="1" applyBorder="1" applyAlignment="1">
      <alignment horizontal="center" wrapText="1"/>
    </xf>
    <xf numFmtId="0" fontId="9" fillId="0" borderId="23" xfId="0" applyFont="1" applyFill="1" applyBorder="1" applyAlignment="1">
      <alignment wrapText="1"/>
    </xf>
    <xf numFmtId="0" fontId="9" fillId="0" borderId="23" xfId="0" applyFont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49" fontId="5" fillId="0" borderId="10" xfId="58" applyNumberFormat="1" applyFont="1" applyFill="1" applyBorder="1" applyAlignment="1">
      <alignment horizontal="center" vertical="center" wrapText="1"/>
      <protection/>
    </xf>
    <xf numFmtId="49" fontId="11" fillId="0" borderId="10" xfId="60" applyNumberFormat="1" applyFont="1" applyFill="1" applyBorder="1" applyAlignment="1">
      <alignment horizontal="left" vertical="center" wrapText="1"/>
      <protection/>
    </xf>
    <xf numFmtId="0" fontId="5" fillId="0" borderId="14" xfId="58" applyFont="1" applyFill="1" applyBorder="1" applyAlignment="1">
      <alignment horizontal="center" vertical="center" wrapText="1"/>
      <protection/>
    </xf>
    <xf numFmtId="49" fontId="5" fillId="0" borderId="13" xfId="58" applyNumberFormat="1" applyFont="1" applyFill="1" applyBorder="1" applyAlignment="1">
      <alignment horizontal="center" vertical="center" wrapText="1"/>
      <protection/>
    </xf>
    <xf numFmtId="49" fontId="5" fillId="0" borderId="24" xfId="58" applyNumberFormat="1" applyFont="1" applyFill="1" applyBorder="1" applyAlignment="1">
      <alignment horizontal="center" vertical="center" wrapText="1"/>
      <protection/>
    </xf>
    <xf numFmtId="0" fontId="7" fillId="0" borderId="10" xfId="60" applyFont="1" applyFill="1" applyBorder="1" applyAlignment="1">
      <alignment horizontal="left" vertical="center" wrapText="1"/>
      <protection/>
    </xf>
    <xf numFmtId="0" fontId="7" fillId="0" borderId="13" xfId="60" applyFont="1" applyFill="1" applyBorder="1" applyAlignment="1">
      <alignment horizontal="left" vertical="center" wrapText="1"/>
      <protection/>
    </xf>
    <xf numFmtId="0" fontId="6" fillId="0" borderId="10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horizontal="left" vertical="center" wrapText="1"/>
    </xf>
    <xf numFmtId="0" fontId="6" fillId="0" borderId="10" xfId="60" applyFont="1" applyFill="1" applyBorder="1" applyAlignment="1">
      <alignment horizontal="left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58" applyFont="1" applyFill="1" applyBorder="1" applyAlignment="1">
      <alignment horizontal="center" vertical="center" wrapText="1"/>
      <protection/>
    </xf>
    <xf numFmtId="49" fontId="6" fillId="0" borderId="10" xfId="58" applyNumberFormat="1" applyFont="1" applyFill="1" applyBorder="1" applyAlignment="1">
      <alignment horizontal="center" vertical="center" wrapText="1"/>
      <protection/>
    </xf>
    <xf numFmtId="49" fontId="5" fillId="0" borderId="10" xfId="58" applyNumberFormat="1" applyFont="1" applyFill="1" applyBorder="1" applyAlignment="1">
      <alignment horizontal="right" vertical="center" wrapText="1"/>
      <protection/>
    </xf>
    <xf numFmtId="0" fontId="5" fillId="0" borderId="18" xfId="62" applyFont="1" applyFill="1" applyBorder="1" applyAlignment="1">
      <alignment horizontal="left" vertical="top" wrapText="1"/>
      <protection/>
    </xf>
    <xf numFmtId="49" fontId="5" fillId="0" borderId="12" xfId="0" applyNumberFormat="1" applyFont="1" applyFill="1" applyBorder="1" applyAlignment="1">
      <alignment horizontal="right" vertical="center" wrapText="1"/>
    </xf>
    <xf numFmtId="49" fontId="6" fillId="0" borderId="10" xfId="58" applyNumberFormat="1" applyFont="1" applyFill="1" applyBorder="1" applyAlignment="1">
      <alignment horizontal="left" vertical="center" wrapText="1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6" fillId="0" borderId="21" xfId="58" applyNumberFormat="1" applyFont="1" applyFill="1" applyBorder="1" applyAlignment="1">
      <alignment horizontal="center" vertical="center" wrapText="1"/>
      <protection/>
    </xf>
    <xf numFmtId="49" fontId="5" fillId="0" borderId="10" xfId="58" applyNumberFormat="1" applyFont="1" applyFill="1" applyBorder="1" applyAlignment="1">
      <alignment horizontal="left" vertical="center" wrapText="1"/>
      <protection/>
    </xf>
    <xf numFmtId="49" fontId="5" fillId="0" borderId="11" xfId="58" applyNumberFormat="1" applyFont="1" applyFill="1" applyBorder="1" applyAlignment="1">
      <alignment horizontal="right" vertical="center" wrapText="1"/>
      <protection/>
    </xf>
    <xf numFmtId="0" fontId="6" fillId="0" borderId="10" xfId="60" applyFont="1" applyFill="1" applyBorder="1" applyAlignment="1">
      <alignment horizontal="center" vertical="center" wrapText="1"/>
      <protection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_изменения март 2013" xfId="57"/>
    <cellStyle name="Обычный_План финансирования-2014г" xfId="58"/>
    <cellStyle name="Обычный_Прилож. 1  доходы 2012" xfId="59"/>
    <cellStyle name="Обычный_Прилож. №1 к ср срочному плану 2011-2013" xfId="60"/>
    <cellStyle name="Обычный_Приложение 9 - план финансирования 2015" xfId="61"/>
    <cellStyle name="Обычный_приложения с комментмарт 2013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Стиль 1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E58"/>
  <sheetViews>
    <sheetView zoomScaleSheetLayoutView="100" zoomScalePageLayoutView="0" workbookViewId="0" topLeftCell="A1">
      <selection activeCell="D6" sqref="D6"/>
    </sheetView>
  </sheetViews>
  <sheetFormatPr defaultColWidth="9.125" defaultRowHeight="12.75"/>
  <cols>
    <col min="1" max="1" width="32.50390625" style="223" customWidth="1"/>
    <col min="2" max="2" width="66.50390625" style="9" customWidth="1"/>
    <col min="3" max="3" width="14.50390625" style="10" customWidth="1"/>
    <col min="4" max="4" width="10.50390625" style="9" customWidth="1"/>
    <col min="5" max="6" width="9.50390625" style="9" customWidth="1"/>
    <col min="7" max="16384" width="9.125" style="9" customWidth="1"/>
  </cols>
  <sheetData>
    <row r="1" spans="2:3" ht="15">
      <c r="B1" s="224" t="s">
        <v>606</v>
      </c>
      <c r="C1" s="224"/>
    </row>
    <row r="2" spans="2:3" ht="15">
      <c r="B2" s="224" t="s">
        <v>742</v>
      </c>
      <c r="C2" s="224"/>
    </row>
    <row r="3" spans="2:3" ht="15">
      <c r="B3" s="224" t="s">
        <v>743</v>
      </c>
      <c r="C3" s="224"/>
    </row>
    <row r="4" spans="2:3" ht="15">
      <c r="B4" s="224" t="s">
        <v>744</v>
      </c>
      <c r="C4" s="224"/>
    </row>
    <row r="5" spans="2:3" ht="15">
      <c r="B5" s="224" t="s">
        <v>745</v>
      </c>
      <c r="C5" s="224"/>
    </row>
    <row r="6" ht="34.5" customHeight="1">
      <c r="B6" s="224" t="s">
        <v>606</v>
      </c>
    </row>
    <row r="7" ht="15">
      <c r="B7" s="224" t="s">
        <v>607</v>
      </c>
    </row>
    <row r="8" ht="15">
      <c r="B8" s="224" t="s">
        <v>608</v>
      </c>
    </row>
    <row r="9" ht="15">
      <c r="B9" s="224" t="s">
        <v>609</v>
      </c>
    </row>
    <row r="10" ht="15">
      <c r="B10" s="224" t="s">
        <v>610</v>
      </c>
    </row>
    <row r="11" ht="15">
      <c r="B11" s="224"/>
    </row>
    <row r="12" spans="1:2" ht="45.75" customHeight="1">
      <c r="A12" s="256" t="s">
        <v>611</v>
      </c>
      <c r="B12" s="256"/>
    </row>
    <row r="13" ht="15">
      <c r="B13" s="11"/>
    </row>
    <row r="14" spans="1:3" s="226" customFormat="1" ht="15">
      <c r="A14" s="12" t="s">
        <v>612</v>
      </c>
      <c r="B14" s="12" t="s">
        <v>83</v>
      </c>
      <c r="C14" s="225" t="s">
        <v>84</v>
      </c>
    </row>
    <row r="15" spans="1:3" s="226" customFormat="1" ht="15">
      <c r="A15" s="12"/>
      <c r="B15" s="227" t="s">
        <v>613</v>
      </c>
      <c r="C15" s="13">
        <f>C16+C30</f>
        <v>340785.53</v>
      </c>
    </row>
    <row r="16" spans="1:3" s="226" customFormat="1" ht="15">
      <c r="A16" s="12" t="s">
        <v>614</v>
      </c>
      <c r="B16" s="228" t="s">
        <v>615</v>
      </c>
      <c r="C16" s="13">
        <f>C17+C18+C25+C28+C23</f>
        <v>151307.2</v>
      </c>
    </row>
    <row r="17" spans="1:4" ht="15">
      <c r="A17" s="14" t="s">
        <v>616</v>
      </c>
      <c r="B17" s="15" t="s">
        <v>617</v>
      </c>
      <c r="C17" s="13">
        <f>109160-3292</f>
        <v>105868</v>
      </c>
      <c r="D17" s="10"/>
    </row>
    <row r="18" spans="1:5" ht="46.5">
      <c r="A18" s="16" t="s">
        <v>618</v>
      </c>
      <c r="B18" s="229" t="s">
        <v>619</v>
      </c>
      <c r="C18" s="230">
        <f>C19+C20+C21+C22</f>
        <v>6277</v>
      </c>
      <c r="E18" s="10"/>
    </row>
    <row r="19" spans="1:3" ht="78">
      <c r="A19" s="14" t="s">
        <v>620</v>
      </c>
      <c r="B19" s="231" t="s">
        <v>621</v>
      </c>
      <c r="C19" s="232">
        <v>2595</v>
      </c>
    </row>
    <row r="20" spans="1:3" ht="93">
      <c r="A20" s="14" t="s">
        <v>622</v>
      </c>
      <c r="B20" s="231" t="s">
        <v>623</v>
      </c>
      <c r="C20" s="232">
        <v>20</v>
      </c>
    </row>
    <row r="21" spans="1:3" ht="93.75" customHeight="1">
      <c r="A21" s="14" t="s">
        <v>624</v>
      </c>
      <c r="B21" s="231" t="s">
        <v>625</v>
      </c>
      <c r="C21" s="232">
        <v>4019</v>
      </c>
    </row>
    <row r="22" spans="1:3" ht="98.25" customHeight="1">
      <c r="A22" s="14" t="s">
        <v>626</v>
      </c>
      <c r="B22" s="231" t="s">
        <v>627</v>
      </c>
      <c r="C22" s="232">
        <v>-357</v>
      </c>
    </row>
    <row r="23" spans="1:3" ht="21.75" customHeight="1">
      <c r="A23" s="14" t="s">
        <v>682</v>
      </c>
      <c r="B23" s="229" t="s">
        <v>683</v>
      </c>
      <c r="C23" s="232">
        <f>C24</f>
        <v>9.2</v>
      </c>
    </row>
    <row r="24" spans="1:3" ht="26.25" customHeight="1">
      <c r="A24" s="14" t="s">
        <v>684</v>
      </c>
      <c r="B24" s="231" t="s">
        <v>685</v>
      </c>
      <c r="C24" s="232">
        <v>9.2</v>
      </c>
    </row>
    <row r="25" spans="1:3" ht="15">
      <c r="A25" s="16" t="s">
        <v>628</v>
      </c>
      <c r="B25" s="229" t="s">
        <v>629</v>
      </c>
      <c r="C25" s="233">
        <f>C26+C27</f>
        <v>39153</v>
      </c>
    </row>
    <row r="26" spans="1:3" ht="49.5" customHeight="1">
      <c r="A26" s="14" t="s">
        <v>630</v>
      </c>
      <c r="B26" s="231" t="s">
        <v>631</v>
      </c>
      <c r="C26" s="234">
        <v>3856</v>
      </c>
    </row>
    <row r="27" spans="1:3" ht="15">
      <c r="A27" s="14" t="s">
        <v>632</v>
      </c>
      <c r="B27" s="231" t="s">
        <v>633</v>
      </c>
      <c r="C27" s="234">
        <v>35297</v>
      </c>
    </row>
    <row r="28" spans="1:3" ht="46.5" hidden="1">
      <c r="A28" s="16" t="s">
        <v>634</v>
      </c>
      <c r="B28" s="229" t="s">
        <v>635</v>
      </c>
      <c r="C28" s="233">
        <f>C29</f>
        <v>0</v>
      </c>
    </row>
    <row r="29" spans="1:3" ht="30.75" hidden="1">
      <c r="A29" s="14" t="s">
        <v>636</v>
      </c>
      <c r="B29" s="235" t="s">
        <v>637</v>
      </c>
      <c r="C29" s="234">
        <v>0</v>
      </c>
    </row>
    <row r="30" spans="1:3" ht="15">
      <c r="A30" s="14"/>
      <c r="B30" s="228" t="s">
        <v>638</v>
      </c>
      <c r="C30" s="236">
        <f>C31+C36+C41+C42</f>
        <v>189478.33</v>
      </c>
    </row>
    <row r="31" spans="1:3" ht="46.5">
      <c r="A31" s="16" t="s">
        <v>639</v>
      </c>
      <c r="B31" s="228" t="s">
        <v>640</v>
      </c>
      <c r="C31" s="236">
        <f>SUM(C32:C35)</f>
        <v>30361.5</v>
      </c>
    </row>
    <row r="32" spans="1:3" ht="81" customHeight="1">
      <c r="A32" s="14" t="s">
        <v>641</v>
      </c>
      <c r="B32" s="237" t="s">
        <v>642</v>
      </c>
      <c r="C32" s="17">
        <f>24078+1000</f>
        <v>25078</v>
      </c>
    </row>
    <row r="33" spans="1:3" ht="72" customHeight="1" hidden="1">
      <c r="A33" s="14" t="s">
        <v>643</v>
      </c>
      <c r="B33" s="237" t="s">
        <v>644</v>
      </c>
      <c r="C33" s="17">
        <v>0</v>
      </c>
    </row>
    <row r="34" spans="1:3" ht="41.25" customHeight="1">
      <c r="A34" s="14" t="s">
        <v>645</v>
      </c>
      <c r="B34" s="235" t="s">
        <v>646</v>
      </c>
      <c r="C34" s="17">
        <f>4064-1500+120+500+1800</f>
        <v>4984</v>
      </c>
    </row>
    <row r="35" spans="1:3" ht="41.25" customHeight="1">
      <c r="A35" s="14" t="s">
        <v>647</v>
      </c>
      <c r="B35" s="235" t="s">
        <v>648</v>
      </c>
      <c r="C35" s="17">
        <f>2375+831-2907+0.5</f>
        <v>299.5</v>
      </c>
    </row>
    <row r="36" spans="1:3" ht="30.75">
      <c r="A36" s="16" t="s">
        <v>649</v>
      </c>
      <c r="B36" s="228" t="s">
        <v>650</v>
      </c>
      <c r="C36" s="236">
        <f>SUM(C37:C40)</f>
        <v>158671.83</v>
      </c>
    </row>
    <row r="37" spans="1:3" ht="95.25" customHeight="1">
      <c r="A37" s="14" t="s">
        <v>651</v>
      </c>
      <c r="B37" s="235" t="s">
        <v>652</v>
      </c>
      <c r="C37" s="17">
        <f>26656-37+4221+133.6-19+8645.4-6926-2500+3245.8+1513.9-673.4+1727.1+415.18+546.75+6628.2+15500+1800+100000-4442.7</f>
        <v>156434.83</v>
      </c>
    </row>
    <row r="38" spans="1:3" ht="46.5" customHeight="1">
      <c r="A38" s="14" t="s">
        <v>653</v>
      </c>
      <c r="B38" s="238" t="s">
        <v>654</v>
      </c>
      <c r="C38" s="17">
        <f>49+430</f>
        <v>479</v>
      </c>
    </row>
    <row r="39" spans="1:3" ht="46.5" customHeight="1">
      <c r="A39" s="239" t="s">
        <v>655</v>
      </c>
      <c r="B39" s="18" t="s">
        <v>656</v>
      </c>
      <c r="C39" s="17">
        <v>886.8</v>
      </c>
    </row>
    <row r="40" spans="1:5" ht="46.5" customHeight="1">
      <c r="A40" s="239" t="s">
        <v>686</v>
      </c>
      <c r="B40" s="18" t="s">
        <v>687</v>
      </c>
      <c r="C40" s="17">
        <v>871.2</v>
      </c>
      <c r="E40" s="10"/>
    </row>
    <row r="41" spans="1:3" ht="33.75" customHeight="1">
      <c r="A41" s="246" t="s">
        <v>688</v>
      </c>
      <c r="B41" s="94" t="s">
        <v>689</v>
      </c>
      <c r="C41" s="17">
        <v>125</v>
      </c>
    </row>
    <row r="42" spans="1:3" ht="31.5" customHeight="1">
      <c r="A42" s="246" t="s">
        <v>690</v>
      </c>
      <c r="B42" s="94" t="s">
        <v>691</v>
      </c>
      <c r="C42" s="17">
        <v>320</v>
      </c>
    </row>
    <row r="43" spans="1:3" s="19" customFormat="1" ht="46.5">
      <c r="A43" s="16" t="s">
        <v>657</v>
      </c>
      <c r="B43" s="240" t="s">
        <v>658</v>
      </c>
      <c r="C43" s="236">
        <f>C44+C46+C52+C54</f>
        <v>124135.55555</v>
      </c>
    </row>
    <row r="44" spans="1:3" s="19" customFormat="1" ht="30.75">
      <c r="A44" s="16" t="s">
        <v>659</v>
      </c>
      <c r="B44" s="240" t="s">
        <v>660</v>
      </c>
      <c r="C44" s="236">
        <f>C45</f>
        <v>3683</v>
      </c>
    </row>
    <row r="45" spans="1:3" ht="40.5" customHeight="1">
      <c r="A45" s="14" t="s">
        <v>661</v>
      </c>
      <c r="B45" s="241" t="s">
        <v>662</v>
      </c>
      <c r="C45" s="17">
        <f>391+3292</f>
        <v>3683</v>
      </c>
    </row>
    <row r="46" spans="1:3" ht="40.5" customHeight="1">
      <c r="A46" s="16" t="s">
        <v>663</v>
      </c>
      <c r="B46" s="240" t="s">
        <v>664</v>
      </c>
      <c r="C46" s="236">
        <f>SUM(C47:C51)</f>
        <v>109404.55555</v>
      </c>
    </row>
    <row r="47" spans="1:4" ht="97.5" customHeight="1">
      <c r="A47" s="239" t="s">
        <v>665</v>
      </c>
      <c r="B47" s="242" t="s">
        <v>666</v>
      </c>
      <c r="C47" s="17">
        <f>11410+2759.1+2962.46-342</f>
        <v>16789.56</v>
      </c>
      <c r="D47" s="243"/>
    </row>
    <row r="48" spans="1:4" ht="85.5" customHeight="1">
      <c r="A48" s="14" t="s">
        <v>667</v>
      </c>
      <c r="B48" s="237" t="s">
        <v>668</v>
      </c>
      <c r="C48" s="17">
        <f>42956.33202-10776.21647</f>
        <v>32180.115550000002</v>
      </c>
      <c r="D48" s="243"/>
    </row>
    <row r="49" spans="1:4" ht="51" customHeight="1">
      <c r="A49" s="7" t="s">
        <v>669</v>
      </c>
      <c r="B49" s="237" t="s">
        <v>670</v>
      </c>
      <c r="C49" s="17">
        <f>53333.3+0.1</f>
        <v>53333.4</v>
      </c>
      <c r="D49" s="243"/>
    </row>
    <row r="50" spans="1:4" ht="37.5" customHeight="1">
      <c r="A50" s="7" t="s">
        <v>671</v>
      </c>
      <c r="B50" s="237" t="s">
        <v>672</v>
      </c>
      <c r="C50" s="17">
        <v>0</v>
      </c>
      <c r="D50" s="243"/>
    </row>
    <row r="51" spans="1:4" ht="30.75" customHeight="1">
      <c r="A51" s="239" t="s">
        <v>673</v>
      </c>
      <c r="B51" s="18" t="s">
        <v>674</v>
      </c>
      <c r="C51" s="17">
        <f>214+295.76+6513.83+5673.79-5673.79+77.89</f>
        <v>7101.480000000001</v>
      </c>
      <c r="D51" s="243"/>
    </row>
    <row r="52" spans="1:3" ht="30.75" customHeight="1">
      <c r="A52" s="20" t="s">
        <v>675</v>
      </c>
      <c r="B52" s="228" t="s">
        <v>676</v>
      </c>
      <c r="C52" s="236">
        <f>C53</f>
        <v>948</v>
      </c>
    </row>
    <row r="53" spans="1:3" ht="46.5" customHeight="1">
      <c r="A53" s="20" t="s">
        <v>677</v>
      </c>
      <c r="B53" s="15" t="s">
        <v>678</v>
      </c>
      <c r="C53" s="17">
        <v>948</v>
      </c>
    </row>
    <row r="54" spans="1:3" ht="34.5" customHeight="1">
      <c r="A54" s="20" t="s">
        <v>736</v>
      </c>
      <c r="B54" s="244" t="s">
        <v>679</v>
      </c>
      <c r="C54" s="236">
        <f>C55</f>
        <v>10100</v>
      </c>
    </row>
    <row r="55" spans="1:3" ht="34.5" customHeight="1">
      <c r="A55" s="20" t="s">
        <v>735</v>
      </c>
      <c r="B55" s="15" t="s">
        <v>680</v>
      </c>
      <c r="C55" s="17">
        <v>10100</v>
      </c>
    </row>
    <row r="56" spans="1:4" ht="24" customHeight="1">
      <c r="A56" s="21"/>
      <c r="B56" s="228" t="s">
        <v>681</v>
      </c>
      <c r="C56" s="236">
        <f>C30+C16+C43</f>
        <v>464921.08555</v>
      </c>
      <c r="D56" s="243"/>
    </row>
    <row r="57" spans="1:2" ht="15">
      <c r="A57" s="245"/>
      <c r="B57" s="22"/>
    </row>
    <row r="58" spans="1:2" ht="15" customHeight="1">
      <c r="A58" s="257"/>
      <c r="B58" s="257"/>
    </row>
  </sheetData>
  <sheetProtection selectLockedCells="1" selectUnlockedCells="1"/>
  <mergeCells count="2">
    <mergeCell ref="A12:B12"/>
    <mergeCell ref="A58:B58"/>
  </mergeCells>
  <printOptions/>
  <pageMargins left="0.7874015748031497" right="0.1968503937007874" top="0.31496062992125984" bottom="0.7480314960629921" header="0.5118110236220472" footer="0.15748031496062992"/>
  <pageSetup horizontalDpi="300" verticalDpi="300" orientation="portrait" paperSize="9" scale="75" r:id="rId1"/>
  <headerFooter alignWithMargins="0">
    <oddFooter>&amp;L139/мз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I305"/>
  <sheetViews>
    <sheetView zoomScaleSheetLayoutView="100" zoomScalePageLayoutView="0" workbookViewId="0" topLeftCell="A1">
      <selection activeCell="B2" sqref="B2:B5"/>
    </sheetView>
  </sheetViews>
  <sheetFormatPr defaultColWidth="9.125" defaultRowHeight="12.75"/>
  <cols>
    <col min="1" max="1" width="69.50390625" style="9" customWidth="1"/>
    <col min="2" max="2" width="7.125" style="23" customWidth="1"/>
    <col min="3" max="3" width="16.50390625" style="23" customWidth="1"/>
    <col min="4" max="4" width="5.875" style="23" customWidth="1"/>
    <col min="5" max="5" width="14.50390625" style="24" customWidth="1"/>
    <col min="6" max="6" width="10.875" style="10" customWidth="1"/>
    <col min="7" max="7" width="15.50390625" style="25" customWidth="1"/>
    <col min="8" max="8" width="12.50390625" style="26" customWidth="1"/>
    <col min="9" max="9" width="12.125" style="9" customWidth="1"/>
    <col min="10" max="11" width="9.50390625" style="9" customWidth="1"/>
    <col min="12" max="12" width="9.875" style="9" customWidth="1"/>
    <col min="13" max="15" width="10.125" style="9" customWidth="1"/>
    <col min="16" max="16384" width="9.125" style="9" customWidth="1"/>
  </cols>
  <sheetData>
    <row r="1" spans="2:5" ht="15">
      <c r="B1" s="27" t="s">
        <v>85</v>
      </c>
      <c r="D1" s="28"/>
      <c r="E1" s="29"/>
    </row>
    <row r="2" spans="2:5" ht="15">
      <c r="B2" s="9" t="s">
        <v>738</v>
      </c>
      <c r="C2" s="99"/>
      <c r="D2" s="28"/>
      <c r="E2" s="29"/>
    </row>
    <row r="3" spans="2:5" ht="15">
      <c r="B3" s="9" t="s">
        <v>739</v>
      </c>
      <c r="C3" s="99"/>
      <c r="D3" s="28"/>
      <c r="E3" s="29"/>
    </row>
    <row r="4" spans="2:5" ht="15">
      <c r="B4" s="9" t="s">
        <v>740</v>
      </c>
      <c r="C4" s="99"/>
      <c r="E4" s="29"/>
    </row>
    <row r="5" spans="2:5" ht="15">
      <c r="B5" s="9" t="s">
        <v>741</v>
      </c>
      <c r="C5" s="99"/>
      <c r="E5" s="29"/>
    </row>
    <row r="6" spans="2:5" ht="15" customHeight="1">
      <c r="B6" s="27" t="s">
        <v>90</v>
      </c>
      <c r="D6" s="28"/>
      <c r="E6" s="29"/>
    </row>
    <row r="7" spans="2:5" ht="15" hidden="1">
      <c r="B7" s="27"/>
      <c r="D7" s="28"/>
      <c r="E7" s="29"/>
    </row>
    <row r="8" spans="2:5" ht="32.25" customHeight="1">
      <c r="B8" s="27" t="s">
        <v>85</v>
      </c>
      <c r="D8" s="28"/>
      <c r="E8" s="29"/>
    </row>
    <row r="9" spans="2:5" ht="15">
      <c r="B9" s="27" t="s">
        <v>86</v>
      </c>
      <c r="D9" s="28"/>
      <c r="E9" s="29"/>
    </row>
    <row r="10" spans="2:5" ht="15">
      <c r="B10" s="27" t="s">
        <v>87</v>
      </c>
      <c r="D10" s="28"/>
      <c r="E10" s="29"/>
    </row>
    <row r="11" spans="2:5" ht="15">
      <c r="B11" s="27" t="s">
        <v>88</v>
      </c>
      <c r="E11" s="29"/>
    </row>
    <row r="12" spans="2:5" ht="15">
      <c r="B12" s="27" t="s">
        <v>89</v>
      </c>
      <c r="E12" s="29"/>
    </row>
    <row r="13" spans="2:5" ht="15">
      <c r="B13" s="27" t="s">
        <v>91</v>
      </c>
      <c r="D13" s="28"/>
      <c r="E13" s="29"/>
    </row>
    <row r="14" spans="1:5" ht="55.5" customHeight="1">
      <c r="A14" s="259" t="s">
        <v>92</v>
      </c>
      <c r="B14" s="259"/>
      <c r="C14" s="259"/>
      <c r="D14" s="259"/>
      <c r="E14" s="259"/>
    </row>
    <row r="15" ht="15">
      <c r="E15" s="24" t="s">
        <v>93</v>
      </c>
    </row>
    <row r="16" spans="1:8" s="11" customFormat="1" ht="15" customHeight="1">
      <c r="A16" s="260" t="s">
        <v>94</v>
      </c>
      <c r="B16" s="260" t="s">
        <v>95</v>
      </c>
      <c r="C16" s="260"/>
      <c r="D16" s="260"/>
      <c r="E16" s="261" t="s">
        <v>96</v>
      </c>
      <c r="F16" s="258" t="s">
        <v>97</v>
      </c>
      <c r="G16" s="30"/>
      <c r="H16" s="31"/>
    </row>
    <row r="17" spans="1:8" s="11" customFormat="1" ht="27" customHeight="1">
      <c r="A17" s="260"/>
      <c r="B17" s="7" t="s">
        <v>98</v>
      </c>
      <c r="C17" s="7" t="s">
        <v>99</v>
      </c>
      <c r="D17" s="7" t="s">
        <v>100</v>
      </c>
      <c r="E17" s="261"/>
      <c r="F17" s="258"/>
      <c r="G17" s="30"/>
      <c r="H17" s="31"/>
    </row>
    <row r="18" spans="1:8" s="37" customFormat="1" ht="15.75">
      <c r="A18" s="32" t="s">
        <v>101</v>
      </c>
      <c r="B18" s="33" t="s">
        <v>102</v>
      </c>
      <c r="C18" s="34"/>
      <c r="D18" s="34"/>
      <c r="E18" s="35">
        <f>E19+E24+E38+E54+E68+E64+E78</f>
        <v>62169.96226</v>
      </c>
      <c r="F18" s="35">
        <f>F19+F24+F38+F54+F68+F78</f>
        <v>0</v>
      </c>
      <c r="G18" s="221"/>
      <c r="H18" s="36"/>
    </row>
    <row r="19" spans="1:8" s="40" customFormat="1" ht="32.25">
      <c r="A19" s="32" t="s">
        <v>103</v>
      </c>
      <c r="B19" s="38" t="s">
        <v>104</v>
      </c>
      <c r="C19" s="33"/>
      <c r="D19" s="33"/>
      <c r="E19" s="13">
        <f>E20</f>
        <v>1801</v>
      </c>
      <c r="F19" s="13">
        <f>F20</f>
        <v>0</v>
      </c>
      <c r="G19" s="221"/>
      <c r="H19" s="39"/>
    </row>
    <row r="20" spans="1:8" s="11" customFormat="1" ht="46.5">
      <c r="A20" s="41" t="s">
        <v>105</v>
      </c>
      <c r="B20" s="42" t="s">
        <v>104</v>
      </c>
      <c r="C20" s="42" t="s">
        <v>106</v>
      </c>
      <c r="D20" s="42"/>
      <c r="E20" s="43">
        <f>E21</f>
        <v>1801</v>
      </c>
      <c r="F20" s="43"/>
      <c r="G20" s="221"/>
      <c r="H20" s="31"/>
    </row>
    <row r="21" spans="1:8" s="11" customFormat="1" ht="15">
      <c r="A21" s="41" t="s">
        <v>107</v>
      </c>
      <c r="B21" s="42" t="s">
        <v>104</v>
      </c>
      <c r="C21" s="42" t="s">
        <v>108</v>
      </c>
      <c r="D21" s="42"/>
      <c r="E21" s="43">
        <f>E23</f>
        <v>1801</v>
      </c>
      <c r="F21" s="43"/>
      <c r="G21" s="221"/>
      <c r="H21" s="31"/>
    </row>
    <row r="22" spans="1:8" s="11" customFormat="1" ht="62.25">
      <c r="A22" s="41" t="s">
        <v>109</v>
      </c>
      <c r="B22" s="42" t="s">
        <v>104</v>
      </c>
      <c r="C22" s="42" t="s">
        <v>108</v>
      </c>
      <c r="D22" s="42" t="s">
        <v>110</v>
      </c>
      <c r="E22" s="43">
        <f>E23</f>
        <v>1801</v>
      </c>
      <c r="F22" s="43"/>
      <c r="G22" s="221"/>
      <c r="H22" s="31"/>
    </row>
    <row r="23" spans="1:8" s="11" customFormat="1" ht="15">
      <c r="A23" s="41" t="s">
        <v>111</v>
      </c>
      <c r="B23" s="42" t="s">
        <v>104</v>
      </c>
      <c r="C23" s="42" t="s">
        <v>108</v>
      </c>
      <c r="D23" s="42" t="s">
        <v>112</v>
      </c>
      <c r="E23" s="43">
        <f>1364+437</f>
        <v>1801</v>
      </c>
      <c r="F23" s="43"/>
      <c r="G23" s="221"/>
      <c r="H23" s="31"/>
    </row>
    <row r="24" spans="1:8" s="11" customFormat="1" ht="48">
      <c r="A24" s="32" t="s">
        <v>113</v>
      </c>
      <c r="B24" s="38" t="s">
        <v>114</v>
      </c>
      <c r="C24" s="33"/>
      <c r="D24" s="33"/>
      <c r="E24" s="13">
        <f>E25</f>
        <v>5132</v>
      </c>
      <c r="F24" s="13">
        <f>F25</f>
        <v>0</v>
      </c>
      <c r="G24" s="221"/>
      <c r="H24" s="31"/>
    </row>
    <row r="25" spans="1:8" s="11" customFormat="1" ht="46.5">
      <c r="A25" s="41" t="s">
        <v>105</v>
      </c>
      <c r="B25" s="42" t="s">
        <v>114</v>
      </c>
      <c r="C25" s="42" t="s">
        <v>106</v>
      </c>
      <c r="D25" s="42"/>
      <c r="E25" s="17">
        <f>E26+E29</f>
        <v>5132</v>
      </c>
      <c r="F25" s="17"/>
      <c r="G25" s="221"/>
      <c r="H25" s="31"/>
    </row>
    <row r="26" spans="1:8" s="11" customFormat="1" ht="30.75">
      <c r="A26" s="44" t="s">
        <v>115</v>
      </c>
      <c r="B26" s="42" t="s">
        <v>114</v>
      </c>
      <c r="C26" s="42" t="s">
        <v>116</v>
      </c>
      <c r="D26" s="42"/>
      <c r="E26" s="17">
        <f>E28</f>
        <v>1871</v>
      </c>
      <c r="F26" s="17"/>
      <c r="G26" s="221"/>
      <c r="H26" s="31"/>
    </row>
    <row r="27" spans="1:8" s="11" customFormat="1" ht="62.25">
      <c r="A27" s="41" t="s">
        <v>109</v>
      </c>
      <c r="B27" s="42" t="s">
        <v>114</v>
      </c>
      <c r="C27" s="42" t="s">
        <v>116</v>
      </c>
      <c r="D27" s="42" t="s">
        <v>110</v>
      </c>
      <c r="E27" s="17">
        <f>E28</f>
        <v>1871</v>
      </c>
      <c r="F27" s="17"/>
      <c r="G27" s="221"/>
      <c r="H27" s="31"/>
    </row>
    <row r="28" spans="1:8" s="11" customFormat="1" ht="15">
      <c r="A28" s="41" t="s">
        <v>111</v>
      </c>
      <c r="B28" s="42" t="s">
        <v>114</v>
      </c>
      <c r="C28" s="42" t="s">
        <v>116</v>
      </c>
      <c r="D28" s="42" t="s">
        <v>112</v>
      </c>
      <c r="E28" s="17">
        <f>1340+761-230</f>
        <v>1871</v>
      </c>
      <c r="F28" s="17"/>
      <c r="G28" s="221"/>
      <c r="H28" s="31"/>
    </row>
    <row r="29" spans="1:8" s="11" customFormat="1" ht="15">
      <c r="A29" s="41" t="s">
        <v>117</v>
      </c>
      <c r="B29" s="42" t="s">
        <v>114</v>
      </c>
      <c r="C29" s="45" t="s">
        <v>118</v>
      </c>
      <c r="D29" s="45"/>
      <c r="E29" s="43">
        <f>E33+E30</f>
        <v>3261</v>
      </c>
      <c r="F29" s="43"/>
      <c r="G29" s="221"/>
      <c r="H29" s="31"/>
    </row>
    <row r="30" spans="1:8" s="11" customFormat="1" ht="15">
      <c r="A30" s="41" t="s">
        <v>119</v>
      </c>
      <c r="B30" s="42" t="s">
        <v>114</v>
      </c>
      <c r="C30" s="45" t="s">
        <v>120</v>
      </c>
      <c r="D30" s="42"/>
      <c r="E30" s="43">
        <f>E31</f>
        <v>1251</v>
      </c>
      <c r="F30" s="43"/>
      <c r="G30" s="221"/>
      <c r="H30" s="31"/>
    </row>
    <row r="31" spans="1:8" s="11" customFormat="1" ht="62.25">
      <c r="A31" s="41" t="s">
        <v>109</v>
      </c>
      <c r="B31" s="42" t="s">
        <v>114</v>
      </c>
      <c r="C31" s="45" t="s">
        <v>120</v>
      </c>
      <c r="D31" s="45" t="s">
        <v>110</v>
      </c>
      <c r="E31" s="43">
        <f>E32</f>
        <v>1251</v>
      </c>
      <c r="F31" s="43"/>
      <c r="G31" s="221"/>
      <c r="H31" s="31"/>
    </row>
    <row r="32" spans="1:8" s="11" customFormat="1" ht="15">
      <c r="A32" s="41" t="s">
        <v>111</v>
      </c>
      <c r="B32" s="42" t="s">
        <v>114</v>
      </c>
      <c r="C32" s="45" t="s">
        <v>120</v>
      </c>
      <c r="D32" s="42" t="s">
        <v>112</v>
      </c>
      <c r="E32" s="43">
        <f>1021+230</f>
        <v>1251</v>
      </c>
      <c r="F32" s="43"/>
      <c r="G32" s="221"/>
      <c r="H32" s="31"/>
    </row>
    <row r="33" spans="1:8" s="11" customFormat="1" ht="15">
      <c r="A33" s="41" t="s">
        <v>121</v>
      </c>
      <c r="B33" s="42" t="s">
        <v>114</v>
      </c>
      <c r="C33" s="45" t="s">
        <v>122</v>
      </c>
      <c r="D33" s="45"/>
      <c r="E33" s="43">
        <f>E36+E34</f>
        <v>2010</v>
      </c>
      <c r="F33" s="43"/>
      <c r="G33" s="221"/>
      <c r="H33" s="31"/>
    </row>
    <row r="34" spans="1:8" s="11" customFormat="1" ht="15">
      <c r="A34" s="41" t="s">
        <v>123</v>
      </c>
      <c r="B34" s="42" t="s">
        <v>114</v>
      </c>
      <c r="C34" s="45" t="s">
        <v>122</v>
      </c>
      <c r="D34" s="45" t="s">
        <v>124</v>
      </c>
      <c r="E34" s="43">
        <f>E35</f>
        <v>1995</v>
      </c>
      <c r="F34" s="43"/>
      <c r="G34" s="221"/>
      <c r="H34" s="31"/>
    </row>
    <row r="35" spans="1:8" s="11" customFormat="1" ht="30.75">
      <c r="A35" s="41" t="s">
        <v>125</v>
      </c>
      <c r="B35" s="42" t="s">
        <v>114</v>
      </c>
      <c r="C35" s="45" t="s">
        <v>122</v>
      </c>
      <c r="D35" s="45" t="s">
        <v>126</v>
      </c>
      <c r="E35" s="43">
        <v>1995</v>
      </c>
      <c r="F35" s="43"/>
      <c r="G35" s="221"/>
      <c r="H35" s="31"/>
    </row>
    <row r="36" spans="1:8" s="11" customFormat="1" ht="15">
      <c r="A36" s="41" t="s">
        <v>127</v>
      </c>
      <c r="B36" s="42" t="s">
        <v>114</v>
      </c>
      <c r="C36" s="45" t="s">
        <v>122</v>
      </c>
      <c r="D36" s="45" t="s">
        <v>128</v>
      </c>
      <c r="E36" s="43">
        <f>E37</f>
        <v>15</v>
      </c>
      <c r="F36" s="43"/>
      <c r="G36" s="221"/>
      <c r="H36" s="31"/>
    </row>
    <row r="37" spans="1:8" s="11" customFormat="1" ht="15">
      <c r="A37" s="41" t="s">
        <v>129</v>
      </c>
      <c r="B37" s="42" t="s">
        <v>114</v>
      </c>
      <c r="C37" s="45" t="s">
        <v>122</v>
      </c>
      <c r="D37" s="45" t="s">
        <v>130</v>
      </c>
      <c r="E37" s="43">
        <v>15</v>
      </c>
      <c r="F37" s="43"/>
      <c r="G37" s="221"/>
      <c r="H37" s="31"/>
    </row>
    <row r="38" spans="1:8" s="11" customFormat="1" ht="48">
      <c r="A38" s="46" t="s">
        <v>131</v>
      </c>
      <c r="B38" s="33" t="s">
        <v>132</v>
      </c>
      <c r="C38" s="33"/>
      <c r="D38" s="33"/>
      <c r="E38" s="13">
        <f>E39</f>
        <v>25044</v>
      </c>
      <c r="F38" s="13">
        <f>F39</f>
        <v>0</v>
      </c>
      <c r="G38" s="221"/>
      <c r="H38" s="31"/>
    </row>
    <row r="39" spans="1:8" s="11" customFormat="1" ht="46.5">
      <c r="A39" s="41" t="s">
        <v>105</v>
      </c>
      <c r="B39" s="45" t="s">
        <v>132</v>
      </c>
      <c r="C39" s="42" t="s">
        <v>118</v>
      </c>
      <c r="D39" s="45"/>
      <c r="E39" s="43">
        <f>E40</f>
        <v>25044</v>
      </c>
      <c r="F39" s="43"/>
      <c r="G39" s="221"/>
      <c r="H39" s="31"/>
    </row>
    <row r="40" spans="1:8" s="11" customFormat="1" ht="15">
      <c r="A40" s="44" t="s">
        <v>117</v>
      </c>
      <c r="B40" s="45" t="s">
        <v>132</v>
      </c>
      <c r="C40" s="42" t="s">
        <v>118</v>
      </c>
      <c r="D40" s="45"/>
      <c r="E40" s="43">
        <f>E41+E44+E47</f>
        <v>25044</v>
      </c>
      <c r="F40" s="43"/>
      <c r="G40" s="221"/>
      <c r="H40" s="31"/>
    </row>
    <row r="41" spans="1:8" s="11" customFormat="1" ht="15">
      <c r="A41" s="41" t="s">
        <v>133</v>
      </c>
      <c r="B41" s="45" t="s">
        <v>132</v>
      </c>
      <c r="C41" s="45" t="s">
        <v>134</v>
      </c>
      <c r="D41" s="45"/>
      <c r="E41" s="43">
        <f>E43</f>
        <v>8178.2</v>
      </c>
      <c r="F41" s="43"/>
      <c r="G41" s="221"/>
      <c r="H41" s="31"/>
    </row>
    <row r="42" spans="1:8" s="11" customFormat="1" ht="62.25">
      <c r="A42" s="41" t="s">
        <v>109</v>
      </c>
      <c r="B42" s="45" t="s">
        <v>132</v>
      </c>
      <c r="C42" s="45" t="s">
        <v>134</v>
      </c>
      <c r="D42" s="45" t="s">
        <v>110</v>
      </c>
      <c r="E42" s="43">
        <f>E43</f>
        <v>8178.2</v>
      </c>
      <c r="F42" s="43"/>
      <c r="G42" s="221"/>
      <c r="H42" s="31"/>
    </row>
    <row r="43" spans="1:8" s="11" customFormat="1" ht="15">
      <c r="A43" s="41" t="s">
        <v>111</v>
      </c>
      <c r="B43" s="45" t="s">
        <v>132</v>
      </c>
      <c r="C43" s="45" t="s">
        <v>134</v>
      </c>
      <c r="D43" s="42" t="s">
        <v>112</v>
      </c>
      <c r="E43" s="43">
        <f>5861+330.2+226+1761</f>
        <v>8178.2</v>
      </c>
      <c r="F43" s="43"/>
      <c r="G43" s="221"/>
      <c r="H43" s="31"/>
    </row>
    <row r="44" spans="1:8" s="11" customFormat="1" ht="15">
      <c r="A44" s="41" t="s">
        <v>119</v>
      </c>
      <c r="B44" s="45" t="s">
        <v>132</v>
      </c>
      <c r="C44" s="45" t="s">
        <v>120</v>
      </c>
      <c r="D44" s="45"/>
      <c r="E44" s="43">
        <f>E45</f>
        <v>11056.8</v>
      </c>
      <c r="F44" s="43"/>
      <c r="G44" s="221"/>
      <c r="H44" s="31"/>
    </row>
    <row r="45" spans="1:8" s="11" customFormat="1" ht="62.25">
      <c r="A45" s="41" t="s">
        <v>109</v>
      </c>
      <c r="B45" s="45" t="s">
        <v>132</v>
      </c>
      <c r="C45" s="45" t="s">
        <v>120</v>
      </c>
      <c r="D45" s="45" t="s">
        <v>110</v>
      </c>
      <c r="E45" s="43">
        <f>E46</f>
        <v>11056.8</v>
      </c>
      <c r="F45" s="43"/>
      <c r="G45" s="221"/>
      <c r="H45" s="31"/>
    </row>
    <row r="46" spans="1:8" s="11" customFormat="1" ht="15">
      <c r="A46" s="41" t="s">
        <v>111</v>
      </c>
      <c r="B46" s="45" t="s">
        <v>132</v>
      </c>
      <c r="C46" s="45" t="s">
        <v>120</v>
      </c>
      <c r="D46" s="45" t="s">
        <v>112</v>
      </c>
      <c r="E46" s="43">
        <f>5998-330.2+2000+340+3049</f>
        <v>11056.8</v>
      </c>
      <c r="F46" s="43"/>
      <c r="G46" s="221"/>
      <c r="H46" s="31"/>
    </row>
    <row r="47" spans="1:8" s="11" customFormat="1" ht="15">
      <c r="A47" s="41" t="s">
        <v>121</v>
      </c>
      <c r="B47" s="45" t="s">
        <v>132</v>
      </c>
      <c r="C47" s="45" t="s">
        <v>122</v>
      </c>
      <c r="D47" s="45"/>
      <c r="E47" s="43">
        <f>E48+E50+E52</f>
        <v>5809</v>
      </c>
      <c r="F47" s="43"/>
      <c r="G47" s="221"/>
      <c r="H47" s="31"/>
    </row>
    <row r="48" spans="1:8" s="11" customFormat="1" ht="62.25">
      <c r="A48" s="41" t="s">
        <v>109</v>
      </c>
      <c r="B48" s="45" t="s">
        <v>132</v>
      </c>
      <c r="C48" s="45" t="s">
        <v>122</v>
      </c>
      <c r="D48" s="45" t="s">
        <v>110</v>
      </c>
      <c r="E48" s="43">
        <f>E49</f>
        <v>22</v>
      </c>
      <c r="F48" s="43"/>
      <c r="G48" s="221"/>
      <c r="H48" s="31"/>
    </row>
    <row r="49" spans="1:8" s="11" customFormat="1" ht="15">
      <c r="A49" s="41" t="s">
        <v>111</v>
      </c>
      <c r="B49" s="45" t="s">
        <v>132</v>
      </c>
      <c r="C49" s="45" t="s">
        <v>122</v>
      </c>
      <c r="D49" s="45" t="s">
        <v>112</v>
      </c>
      <c r="E49" s="43">
        <v>22</v>
      </c>
      <c r="F49" s="43"/>
      <c r="G49" s="221"/>
      <c r="H49" s="31"/>
    </row>
    <row r="50" spans="1:8" s="11" customFormat="1" ht="15">
      <c r="A50" s="41" t="s">
        <v>123</v>
      </c>
      <c r="B50" s="45" t="s">
        <v>132</v>
      </c>
      <c r="C50" s="45" t="s">
        <v>122</v>
      </c>
      <c r="D50" s="45" t="s">
        <v>124</v>
      </c>
      <c r="E50" s="43">
        <f>E51</f>
        <v>5692</v>
      </c>
      <c r="F50" s="43"/>
      <c r="G50" s="221"/>
      <c r="H50" s="31"/>
    </row>
    <row r="51" spans="1:8" s="11" customFormat="1" ht="30.75">
      <c r="A51" s="41" t="s">
        <v>125</v>
      </c>
      <c r="B51" s="45" t="s">
        <v>132</v>
      </c>
      <c r="C51" s="45" t="s">
        <v>122</v>
      </c>
      <c r="D51" s="45" t="s">
        <v>126</v>
      </c>
      <c r="E51" s="43">
        <f>5039-832-15+1500</f>
        <v>5692</v>
      </c>
      <c r="F51" s="43"/>
      <c r="G51" s="221"/>
      <c r="H51" s="31"/>
    </row>
    <row r="52" spans="1:8" s="11" customFormat="1" ht="15">
      <c r="A52" s="41" t="s">
        <v>127</v>
      </c>
      <c r="B52" s="45" t="s">
        <v>132</v>
      </c>
      <c r="C52" s="45" t="s">
        <v>122</v>
      </c>
      <c r="D52" s="45" t="s">
        <v>128</v>
      </c>
      <c r="E52" s="43">
        <f>E53</f>
        <v>95</v>
      </c>
      <c r="F52" s="43"/>
      <c r="G52" s="221"/>
      <c r="H52" s="31"/>
    </row>
    <row r="53" spans="1:8" s="11" customFormat="1" ht="15">
      <c r="A53" s="41" t="s">
        <v>129</v>
      </c>
      <c r="B53" s="45" t="s">
        <v>132</v>
      </c>
      <c r="C53" s="45" t="s">
        <v>122</v>
      </c>
      <c r="D53" s="45" t="s">
        <v>130</v>
      </c>
      <c r="E53" s="43">
        <f>80+15</f>
        <v>95</v>
      </c>
      <c r="F53" s="43"/>
      <c r="G53" s="221"/>
      <c r="H53" s="31"/>
    </row>
    <row r="54" spans="1:8" s="11" customFormat="1" ht="48">
      <c r="A54" s="47" t="s">
        <v>135</v>
      </c>
      <c r="B54" s="33" t="s">
        <v>136</v>
      </c>
      <c r="C54" s="33"/>
      <c r="D54" s="33"/>
      <c r="E54" s="13">
        <f>E55</f>
        <v>1782</v>
      </c>
      <c r="F54" s="13">
        <f>F55</f>
        <v>0</v>
      </c>
      <c r="G54" s="221"/>
      <c r="H54" s="31"/>
    </row>
    <row r="55" spans="1:8" s="11" customFormat="1" ht="46.5">
      <c r="A55" s="41" t="s">
        <v>105</v>
      </c>
      <c r="B55" s="45" t="s">
        <v>136</v>
      </c>
      <c r="C55" s="42" t="s">
        <v>106</v>
      </c>
      <c r="D55" s="45"/>
      <c r="E55" s="43">
        <f>E56+E61</f>
        <v>1782</v>
      </c>
      <c r="F55" s="43"/>
      <c r="G55" s="221"/>
      <c r="H55" s="31"/>
    </row>
    <row r="56" spans="1:8" s="11" customFormat="1" ht="15">
      <c r="A56" s="41" t="s">
        <v>121</v>
      </c>
      <c r="B56" s="45" t="s">
        <v>136</v>
      </c>
      <c r="C56" s="45" t="s">
        <v>122</v>
      </c>
      <c r="D56" s="45"/>
      <c r="E56" s="43">
        <f>E57+E59</f>
        <v>276</v>
      </c>
      <c r="F56" s="43"/>
      <c r="G56" s="221"/>
      <c r="H56" s="31"/>
    </row>
    <row r="57" spans="1:8" s="11" customFormat="1" ht="15">
      <c r="A57" s="41" t="s">
        <v>123</v>
      </c>
      <c r="B57" s="45" t="s">
        <v>136</v>
      </c>
      <c r="C57" s="45" t="s">
        <v>122</v>
      </c>
      <c r="D57" s="45" t="s">
        <v>124</v>
      </c>
      <c r="E57" s="43">
        <f>E58</f>
        <v>275</v>
      </c>
      <c r="F57" s="43"/>
      <c r="G57" s="221"/>
      <c r="H57" s="31"/>
    </row>
    <row r="58" spans="1:8" s="11" customFormat="1" ht="30.75">
      <c r="A58" s="41" t="s">
        <v>125</v>
      </c>
      <c r="B58" s="45" t="s">
        <v>136</v>
      </c>
      <c r="C58" s="45" t="s">
        <v>122</v>
      </c>
      <c r="D58" s="45" t="s">
        <v>126</v>
      </c>
      <c r="E58" s="43">
        <v>275</v>
      </c>
      <c r="F58" s="43"/>
      <c r="G58" s="221"/>
      <c r="H58" s="31"/>
    </row>
    <row r="59" spans="1:8" s="11" customFormat="1" ht="15">
      <c r="A59" s="41" t="s">
        <v>127</v>
      </c>
      <c r="B59" s="45" t="s">
        <v>136</v>
      </c>
      <c r="C59" s="45" t="s">
        <v>122</v>
      </c>
      <c r="D59" s="45" t="s">
        <v>128</v>
      </c>
      <c r="E59" s="43">
        <f>E60</f>
        <v>1</v>
      </c>
      <c r="F59" s="43"/>
      <c r="G59" s="221"/>
      <c r="H59" s="31"/>
    </row>
    <row r="60" spans="1:8" s="11" customFormat="1" ht="15">
      <c r="A60" s="41" t="s">
        <v>129</v>
      </c>
      <c r="B60" s="45" t="s">
        <v>136</v>
      </c>
      <c r="C60" s="45" t="s">
        <v>122</v>
      </c>
      <c r="D60" s="45" t="s">
        <v>130</v>
      </c>
      <c r="E60" s="43">
        <v>1</v>
      </c>
      <c r="F60" s="43"/>
      <c r="G60" s="221"/>
      <c r="H60" s="31"/>
    </row>
    <row r="61" spans="1:8" s="11" customFormat="1" ht="15">
      <c r="A61" s="48" t="s">
        <v>137</v>
      </c>
      <c r="B61" s="45" t="s">
        <v>136</v>
      </c>
      <c r="C61" s="45" t="s">
        <v>118</v>
      </c>
      <c r="D61" s="45"/>
      <c r="E61" s="43">
        <f>E62</f>
        <v>1506</v>
      </c>
      <c r="F61" s="43"/>
      <c r="G61" s="221"/>
      <c r="H61" s="31"/>
    </row>
    <row r="62" spans="1:8" s="11" customFormat="1" ht="62.25">
      <c r="A62" s="41" t="s">
        <v>109</v>
      </c>
      <c r="B62" s="45" t="s">
        <v>136</v>
      </c>
      <c r="C62" s="42" t="s">
        <v>138</v>
      </c>
      <c r="D62" s="45" t="s">
        <v>110</v>
      </c>
      <c r="E62" s="43">
        <f>E63</f>
        <v>1506</v>
      </c>
      <c r="F62" s="43"/>
      <c r="G62" s="221"/>
      <c r="H62" s="31"/>
    </row>
    <row r="63" spans="1:8" s="11" customFormat="1" ht="15">
      <c r="A63" s="41" t="s">
        <v>111</v>
      </c>
      <c r="B63" s="45" t="s">
        <v>136</v>
      </c>
      <c r="C63" s="42" t="s">
        <v>138</v>
      </c>
      <c r="D63" s="45" t="s">
        <v>112</v>
      </c>
      <c r="E63" s="43">
        <f>1264+242</f>
        <v>1506</v>
      </c>
      <c r="F63" s="43"/>
      <c r="G63" s="221"/>
      <c r="H63" s="31"/>
    </row>
    <row r="64" spans="1:9" s="11" customFormat="1" ht="15.75">
      <c r="A64" s="32" t="s">
        <v>139</v>
      </c>
      <c r="B64" s="45" t="s">
        <v>140</v>
      </c>
      <c r="C64" s="42" t="s">
        <v>141</v>
      </c>
      <c r="D64" s="45"/>
      <c r="E64" s="43">
        <f>E65</f>
        <v>712</v>
      </c>
      <c r="F64" s="43"/>
      <c r="G64" s="221"/>
      <c r="H64" s="31"/>
      <c r="I64" s="49"/>
    </row>
    <row r="65" spans="1:8" s="11" customFormat="1" ht="15">
      <c r="A65" s="41" t="s">
        <v>142</v>
      </c>
      <c r="B65" s="45" t="s">
        <v>140</v>
      </c>
      <c r="C65" s="42" t="s">
        <v>141</v>
      </c>
      <c r="D65" s="45"/>
      <c r="E65" s="43">
        <f>E66</f>
        <v>712</v>
      </c>
      <c r="F65" s="43"/>
      <c r="G65" s="221"/>
      <c r="H65" s="31"/>
    </row>
    <row r="66" spans="1:8" s="11" customFormat="1" ht="15">
      <c r="A66" s="41" t="s">
        <v>127</v>
      </c>
      <c r="B66" s="45" t="s">
        <v>140</v>
      </c>
      <c r="C66" s="42" t="s">
        <v>141</v>
      </c>
      <c r="D66" s="45" t="s">
        <v>128</v>
      </c>
      <c r="E66" s="43">
        <f>E67</f>
        <v>712</v>
      </c>
      <c r="F66" s="43"/>
      <c r="G66" s="221"/>
      <c r="H66" s="31"/>
    </row>
    <row r="67" spans="1:8" s="11" customFormat="1" ht="15">
      <c r="A67" s="41" t="s">
        <v>143</v>
      </c>
      <c r="B67" s="45" t="s">
        <v>140</v>
      </c>
      <c r="C67" s="42" t="s">
        <v>141</v>
      </c>
      <c r="D67" s="45" t="s">
        <v>144</v>
      </c>
      <c r="E67" s="43">
        <v>712</v>
      </c>
      <c r="F67" s="43"/>
      <c r="G67" s="221"/>
      <c r="H67" s="31"/>
    </row>
    <row r="68" spans="1:8" s="11" customFormat="1" ht="15.75">
      <c r="A68" s="46" t="s">
        <v>145</v>
      </c>
      <c r="B68" s="33" t="s">
        <v>146</v>
      </c>
      <c r="C68" s="33"/>
      <c r="D68" s="33"/>
      <c r="E68" s="13">
        <f>E69+E74</f>
        <v>5276.162259999999</v>
      </c>
      <c r="F68" s="13">
        <f>F69+F74</f>
        <v>0</v>
      </c>
      <c r="G68" s="221"/>
      <c r="H68" s="31"/>
    </row>
    <row r="69" spans="1:8" s="11" customFormat="1" ht="30.75">
      <c r="A69" s="18" t="s">
        <v>147</v>
      </c>
      <c r="B69" s="45" t="s">
        <v>146</v>
      </c>
      <c r="C69" s="45" t="s">
        <v>148</v>
      </c>
      <c r="D69" s="45"/>
      <c r="E69" s="43">
        <f>E70</f>
        <v>4776.162259999999</v>
      </c>
      <c r="F69" s="43"/>
      <c r="G69" s="221"/>
      <c r="H69" s="31"/>
    </row>
    <row r="70" spans="1:8" s="11" customFormat="1" ht="15">
      <c r="A70" s="48" t="s">
        <v>145</v>
      </c>
      <c r="B70" s="45" t="s">
        <v>146</v>
      </c>
      <c r="C70" s="45" t="s">
        <v>148</v>
      </c>
      <c r="D70" s="45"/>
      <c r="E70" s="43">
        <f>E71</f>
        <v>4776.162259999999</v>
      </c>
      <c r="F70" s="43"/>
      <c r="G70" s="221"/>
      <c r="H70" s="31"/>
    </row>
    <row r="71" spans="1:8" s="11" customFormat="1" ht="15">
      <c r="A71" s="44" t="s">
        <v>149</v>
      </c>
      <c r="B71" s="45" t="s">
        <v>146</v>
      </c>
      <c r="C71" s="45" t="s">
        <v>148</v>
      </c>
      <c r="D71" s="45"/>
      <c r="E71" s="43">
        <f>E72</f>
        <v>4776.162259999999</v>
      </c>
      <c r="F71" s="43"/>
      <c r="G71" s="221"/>
      <c r="H71" s="31"/>
    </row>
    <row r="72" spans="1:8" s="11" customFormat="1" ht="15">
      <c r="A72" s="41" t="s">
        <v>127</v>
      </c>
      <c r="B72" s="45" t="s">
        <v>146</v>
      </c>
      <c r="C72" s="45" t="s">
        <v>148</v>
      </c>
      <c r="D72" s="45" t="s">
        <v>128</v>
      </c>
      <c r="E72" s="43">
        <f>E73</f>
        <v>4776.162259999999</v>
      </c>
      <c r="F72" s="43"/>
      <c r="G72" s="221"/>
      <c r="H72" s="31"/>
    </row>
    <row r="73" spans="1:8" s="11" customFormat="1" ht="15">
      <c r="A73" s="44" t="s">
        <v>150</v>
      </c>
      <c r="B73" s="45" t="s">
        <v>146</v>
      </c>
      <c r="C73" s="45" t="s">
        <v>148</v>
      </c>
      <c r="D73" s="45" t="s">
        <v>151</v>
      </c>
      <c r="E73" s="43">
        <f>1000-450.13025+9000-42.08385-776.9306-3954.69304</f>
        <v>4776.162259999999</v>
      </c>
      <c r="F73" s="43"/>
      <c r="G73" s="221"/>
      <c r="H73" s="31"/>
    </row>
    <row r="74" spans="1:8" s="11" customFormat="1" ht="33" customHeight="1">
      <c r="A74" s="50" t="s">
        <v>152</v>
      </c>
      <c r="B74" s="45" t="s">
        <v>146</v>
      </c>
      <c r="C74" s="42" t="s">
        <v>153</v>
      </c>
      <c r="D74" s="34"/>
      <c r="E74" s="43">
        <f>E75</f>
        <v>500</v>
      </c>
      <c r="F74" s="43"/>
      <c r="G74" s="221"/>
      <c r="H74" s="31"/>
    </row>
    <row r="75" spans="1:8" s="11" customFormat="1" ht="34.5" customHeight="1">
      <c r="A75" s="50" t="s">
        <v>154</v>
      </c>
      <c r="B75" s="45" t="s">
        <v>146</v>
      </c>
      <c r="C75" s="42" t="s">
        <v>155</v>
      </c>
      <c r="E75" s="43">
        <f>E76</f>
        <v>500</v>
      </c>
      <c r="F75" s="43"/>
      <c r="G75" s="221"/>
      <c r="H75" s="31"/>
    </row>
    <row r="76" spans="1:8" s="11" customFormat="1" ht="15">
      <c r="A76" s="41" t="s">
        <v>127</v>
      </c>
      <c r="B76" s="45" t="s">
        <v>146</v>
      </c>
      <c r="C76" s="42" t="s">
        <v>155</v>
      </c>
      <c r="D76" s="45" t="s">
        <v>128</v>
      </c>
      <c r="E76" s="43">
        <f>E77</f>
        <v>500</v>
      </c>
      <c r="F76" s="43"/>
      <c r="G76" s="221"/>
      <c r="H76" s="31"/>
    </row>
    <row r="77" spans="1:8" s="11" customFormat="1" ht="15">
      <c r="A77" s="44" t="s">
        <v>150</v>
      </c>
      <c r="B77" s="45" t="s">
        <v>146</v>
      </c>
      <c r="C77" s="42" t="s">
        <v>155</v>
      </c>
      <c r="D77" s="45" t="s">
        <v>151</v>
      </c>
      <c r="E77" s="43">
        <v>500</v>
      </c>
      <c r="F77" s="43"/>
      <c r="G77" s="221"/>
      <c r="H77" s="31"/>
    </row>
    <row r="78" spans="1:8" s="11" customFormat="1" ht="15.75">
      <c r="A78" s="46" t="s">
        <v>156</v>
      </c>
      <c r="B78" s="33" t="s">
        <v>157</v>
      </c>
      <c r="C78" s="33"/>
      <c r="D78" s="33"/>
      <c r="E78" s="13">
        <f>E79+E89+E85</f>
        <v>22422.8</v>
      </c>
      <c r="F78" s="13"/>
      <c r="G78" s="221"/>
      <c r="H78" s="31"/>
    </row>
    <row r="79" spans="1:8" s="11" customFormat="1" ht="46.5">
      <c r="A79" s="15" t="s">
        <v>158</v>
      </c>
      <c r="B79" s="45" t="s">
        <v>157</v>
      </c>
      <c r="C79" s="45" t="s">
        <v>159</v>
      </c>
      <c r="D79" s="45"/>
      <c r="E79" s="51">
        <f>E80</f>
        <v>9993.8</v>
      </c>
      <c r="F79" s="51"/>
      <c r="G79" s="221"/>
      <c r="H79" s="31"/>
    </row>
    <row r="80" spans="1:8" s="11" customFormat="1" ht="43.5" customHeight="1">
      <c r="A80" s="15" t="s">
        <v>160</v>
      </c>
      <c r="B80" s="45" t="s">
        <v>157</v>
      </c>
      <c r="C80" s="45" t="s">
        <v>161</v>
      </c>
      <c r="D80" s="45"/>
      <c r="E80" s="51">
        <f>E81+E83</f>
        <v>9993.8</v>
      </c>
      <c r="F80" s="51"/>
      <c r="G80" s="221"/>
      <c r="H80" s="31"/>
    </row>
    <row r="81" spans="1:8" s="11" customFormat="1" ht="15">
      <c r="A81" s="41" t="s">
        <v>123</v>
      </c>
      <c r="B81" s="45" t="s">
        <v>157</v>
      </c>
      <c r="C81" s="45" t="s">
        <v>161</v>
      </c>
      <c r="D81" s="45" t="s">
        <v>124</v>
      </c>
      <c r="E81" s="51">
        <f>E82</f>
        <v>4630</v>
      </c>
      <c r="F81" s="51"/>
      <c r="G81" s="221"/>
      <c r="H81" s="31"/>
    </row>
    <row r="82" spans="1:8" s="11" customFormat="1" ht="30.75">
      <c r="A82" s="41" t="s">
        <v>125</v>
      </c>
      <c r="B82" s="45" t="s">
        <v>157</v>
      </c>
      <c r="C82" s="45" t="s">
        <v>161</v>
      </c>
      <c r="D82" s="45" t="s">
        <v>126</v>
      </c>
      <c r="E82" s="51">
        <f>6150-2020+500</f>
        <v>4630</v>
      </c>
      <c r="F82" s="51"/>
      <c r="G82" s="221"/>
      <c r="H82" s="31"/>
    </row>
    <row r="83" spans="1:8" s="11" customFormat="1" ht="15">
      <c r="A83" s="41" t="s">
        <v>127</v>
      </c>
      <c r="B83" s="45" t="s">
        <v>157</v>
      </c>
      <c r="C83" s="45" t="s">
        <v>161</v>
      </c>
      <c r="D83" s="45" t="s">
        <v>128</v>
      </c>
      <c r="E83" s="51">
        <f>E84</f>
        <v>5363.8</v>
      </c>
      <c r="F83" s="51"/>
      <c r="G83" s="221"/>
      <c r="H83" s="31"/>
    </row>
    <row r="84" spans="1:8" s="11" customFormat="1" ht="15">
      <c r="A84" s="41" t="s">
        <v>129</v>
      </c>
      <c r="B84" s="45" t="s">
        <v>157</v>
      </c>
      <c r="C84" s="45" t="s">
        <v>161</v>
      </c>
      <c r="D84" s="45" t="s">
        <v>130</v>
      </c>
      <c r="E84" s="51">
        <f>2020+10000-3000-1676.2-300-380-300-1000</f>
        <v>5363.8</v>
      </c>
      <c r="F84" s="51"/>
      <c r="G84" s="221"/>
      <c r="H84" s="31"/>
    </row>
    <row r="85" spans="1:8" s="11" customFormat="1" ht="30.75">
      <c r="A85" s="15" t="s">
        <v>162</v>
      </c>
      <c r="B85" s="45" t="s">
        <v>157</v>
      </c>
      <c r="C85" s="45" t="s">
        <v>163</v>
      </c>
      <c r="D85" s="45"/>
      <c r="E85" s="43">
        <f>E86</f>
        <v>20</v>
      </c>
      <c r="F85" s="51"/>
      <c r="G85" s="221"/>
      <c r="H85" s="31"/>
    </row>
    <row r="86" spans="1:8" s="11" customFormat="1" ht="15">
      <c r="A86" s="15" t="s">
        <v>164</v>
      </c>
      <c r="B86" s="45" t="s">
        <v>157</v>
      </c>
      <c r="C86" s="45" t="s">
        <v>165</v>
      </c>
      <c r="D86" s="45"/>
      <c r="E86" s="43">
        <f>E87</f>
        <v>20</v>
      </c>
      <c r="F86" s="51"/>
      <c r="G86" s="221"/>
      <c r="H86" s="31"/>
    </row>
    <row r="87" spans="1:8" s="11" customFormat="1" ht="15">
      <c r="A87" s="52" t="s">
        <v>123</v>
      </c>
      <c r="B87" s="45" t="s">
        <v>157</v>
      </c>
      <c r="C87" s="45" t="s">
        <v>165</v>
      </c>
      <c r="D87" s="45" t="s">
        <v>124</v>
      </c>
      <c r="E87" s="43">
        <f>E88</f>
        <v>20</v>
      </c>
      <c r="F87" s="51"/>
      <c r="G87" s="221"/>
      <c r="H87" s="31"/>
    </row>
    <row r="88" spans="1:8" s="11" customFormat="1" ht="30.75">
      <c r="A88" s="52" t="s">
        <v>125</v>
      </c>
      <c r="B88" s="45" t="s">
        <v>157</v>
      </c>
      <c r="C88" s="45" t="s">
        <v>165</v>
      </c>
      <c r="D88" s="45" t="s">
        <v>126</v>
      </c>
      <c r="E88" s="43">
        <v>20</v>
      </c>
      <c r="F88" s="51"/>
      <c r="G88" s="221"/>
      <c r="H88" s="31"/>
    </row>
    <row r="89" spans="1:8" s="11" customFormat="1" ht="15">
      <c r="A89" s="52" t="s">
        <v>166</v>
      </c>
      <c r="B89" s="45" t="s">
        <v>157</v>
      </c>
      <c r="C89" s="42" t="s">
        <v>167</v>
      </c>
      <c r="D89" s="45"/>
      <c r="E89" s="51">
        <f>E90</f>
        <v>12409</v>
      </c>
      <c r="F89" s="51"/>
      <c r="G89" s="221"/>
      <c r="H89" s="31"/>
    </row>
    <row r="90" spans="1:8" s="11" customFormat="1" ht="46.5">
      <c r="A90" s="41" t="s">
        <v>168</v>
      </c>
      <c r="B90" s="45" t="s">
        <v>157</v>
      </c>
      <c r="C90" s="42" t="s">
        <v>169</v>
      </c>
      <c r="D90" s="45"/>
      <c r="E90" s="51">
        <f>E91+E93+E95</f>
        <v>12409</v>
      </c>
      <c r="F90" s="51"/>
      <c r="G90" s="221"/>
      <c r="H90" s="31"/>
    </row>
    <row r="91" spans="1:8" s="11" customFormat="1" ht="62.25">
      <c r="A91" s="41" t="s">
        <v>109</v>
      </c>
      <c r="B91" s="45" t="s">
        <v>157</v>
      </c>
      <c r="C91" s="42" t="s">
        <v>169</v>
      </c>
      <c r="D91" s="45" t="s">
        <v>110</v>
      </c>
      <c r="E91" s="51">
        <f>E92</f>
        <v>11293</v>
      </c>
      <c r="F91" s="51"/>
      <c r="G91" s="221"/>
      <c r="H91" s="31"/>
    </row>
    <row r="92" spans="1:8" s="11" customFormat="1" ht="15">
      <c r="A92" s="41" t="s">
        <v>170</v>
      </c>
      <c r="B92" s="45" t="s">
        <v>157</v>
      </c>
      <c r="C92" s="42" t="s">
        <v>169</v>
      </c>
      <c r="D92" s="45" t="s">
        <v>171</v>
      </c>
      <c r="E92" s="51">
        <f>9260+2033</f>
        <v>11293</v>
      </c>
      <c r="F92" s="51"/>
      <c r="G92" s="221"/>
      <c r="H92" s="31"/>
    </row>
    <row r="93" spans="1:8" s="11" customFormat="1" ht="15">
      <c r="A93" s="52" t="s">
        <v>123</v>
      </c>
      <c r="B93" s="45" t="s">
        <v>157</v>
      </c>
      <c r="C93" s="42" t="s">
        <v>169</v>
      </c>
      <c r="D93" s="45" t="s">
        <v>124</v>
      </c>
      <c r="E93" s="51">
        <f>E94</f>
        <v>1113</v>
      </c>
      <c r="F93" s="51"/>
      <c r="G93" s="221"/>
      <c r="H93" s="31"/>
    </row>
    <row r="94" spans="1:8" s="11" customFormat="1" ht="30.75">
      <c r="A94" s="52" t="s">
        <v>125</v>
      </c>
      <c r="B94" s="45" t="s">
        <v>157</v>
      </c>
      <c r="C94" s="42" t="s">
        <v>169</v>
      </c>
      <c r="D94" s="45" t="s">
        <v>126</v>
      </c>
      <c r="E94" s="51">
        <v>1113</v>
      </c>
      <c r="F94" s="51"/>
      <c r="G94" s="221"/>
      <c r="H94" s="31"/>
    </row>
    <row r="95" spans="1:8" s="11" customFormat="1" ht="15">
      <c r="A95" s="41" t="s">
        <v>127</v>
      </c>
      <c r="B95" s="45" t="s">
        <v>157</v>
      </c>
      <c r="C95" s="42" t="s">
        <v>169</v>
      </c>
      <c r="D95" s="45" t="s">
        <v>128</v>
      </c>
      <c r="E95" s="51">
        <f>E96</f>
        <v>3</v>
      </c>
      <c r="F95" s="51"/>
      <c r="G95" s="221"/>
      <c r="H95" s="31"/>
    </row>
    <row r="96" spans="1:8" s="11" customFormat="1" ht="15">
      <c r="A96" s="41" t="s">
        <v>129</v>
      </c>
      <c r="B96" s="45" t="s">
        <v>157</v>
      </c>
      <c r="C96" s="42" t="s">
        <v>169</v>
      </c>
      <c r="D96" s="45" t="s">
        <v>130</v>
      </c>
      <c r="E96" s="51">
        <v>3</v>
      </c>
      <c r="F96" s="51"/>
      <c r="G96" s="221"/>
      <c r="H96" s="31"/>
    </row>
    <row r="97" spans="1:8" s="37" customFormat="1" ht="15.75">
      <c r="A97" s="46" t="s">
        <v>172</v>
      </c>
      <c r="B97" s="33" t="s">
        <v>173</v>
      </c>
      <c r="C97" s="34"/>
      <c r="D97" s="34"/>
      <c r="E97" s="53">
        <f>E98+E100</f>
        <v>1178</v>
      </c>
      <c r="F97" s="53">
        <f>E97-E99</f>
        <v>948</v>
      </c>
      <c r="G97" s="221"/>
      <c r="H97" s="36"/>
    </row>
    <row r="98" spans="1:8" s="37" customFormat="1" ht="62.25">
      <c r="A98" s="41" t="s">
        <v>109</v>
      </c>
      <c r="B98" s="45" t="s">
        <v>175</v>
      </c>
      <c r="C98" s="45" t="s">
        <v>134</v>
      </c>
      <c r="D98" s="45" t="s">
        <v>110</v>
      </c>
      <c r="E98" s="43">
        <f>E99</f>
        <v>230</v>
      </c>
      <c r="F98" s="53"/>
      <c r="G98" s="221"/>
      <c r="H98" s="36"/>
    </row>
    <row r="99" spans="1:8" s="37" customFormat="1" ht="15.75">
      <c r="A99" s="41" t="s">
        <v>111</v>
      </c>
      <c r="B99" s="45" t="s">
        <v>175</v>
      </c>
      <c r="C99" s="45" t="s">
        <v>134</v>
      </c>
      <c r="D99" s="45" t="s">
        <v>112</v>
      </c>
      <c r="E99" s="43">
        <v>230</v>
      </c>
      <c r="F99" s="53"/>
      <c r="G99" s="221"/>
      <c r="H99" s="36"/>
    </row>
    <row r="100" spans="1:8" s="11" customFormat="1" ht="15">
      <c r="A100" s="54" t="s">
        <v>174</v>
      </c>
      <c r="B100" s="45" t="s">
        <v>175</v>
      </c>
      <c r="C100" s="45" t="s">
        <v>176</v>
      </c>
      <c r="D100" s="45"/>
      <c r="E100" s="43">
        <f>E101</f>
        <v>948</v>
      </c>
      <c r="F100" s="43"/>
      <c r="G100" s="221"/>
      <c r="H100" s="31"/>
    </row>
    <row r="101" spans="1:8" s="11" customFormat="1" ht="30.75">
      <c r="A101" s="54" t="s">
        <v>177</v>
      </c>
      <c r="B101" s="45" t="s">
        <v>175</v>
      </c>
      <c r="C101" s="45" t="s">
        <v>176</v>
      </c>
      <c r="D101" s="45"/>
      <c r="E101" s="43">
        <f>E102+E104</f>
        <v>948</v>
      </c>
      <c r="F101" s="43"/>
      <c r="G101" s="221"/>
      <c r="H101" s="31"/>
    </row>
    <row r="102" spans="1:8" s="11" customFormat="1" ht="62.25">
      <c r="A102" s="41" t="s">
        <v>109</v>
      </c>
      <c r="B102" s="45" t="s">
        <v>175</v>
      </c>
      <c r="C102" s="45" t="s">
        <v>176</v>
      </c>
      <c r="D102" s="45" t="s">
        <v>110</v>
      </c>
      <c r="E102" s="43">
        <f>E103</f>
        <v>853.7</v>
      </c>
      <c r="F102" s="43"/>
      <c r="G102" s="221"/>
      <c r="H102" s="31"/>
    </row>
    <row r="103" spans="1:8" s="11" customFormat="1" ht="15">
      <c r="A103" s="41" t="s">
        <v>111</v>
      </c>
      <c r="B103" s="45" t="s">
        <v>175</v>
      </c>
      <c r="C103" s="45" t="s">
        <v>176</v>
      </c>
      <c r="D103" s="45" t="s">
        <v>112</v>
      </c>
      <c r="E103" s="43">
        <f>705.7+62+9+77</f>
        <v>853.7</v>
      </c>
      <c r="F103" s="43"/>
      <c r="G103" s="221"/>
      <c r="H103" s="31"/>
    </row>
    <row r="104" spans="1:8" s="11" customFormat="1" ht="15">
      <c r="A104" s="52" t="s">
        <v>123</v>
      </c>
      <c r="B104" s="45" t="s">
        <v>175</v>
      </c>
      <c r="C104" s="45" t="s">
        <v>176</v>
      </c>
      <c r="D104" s="45" t="s">
        <v>124</v>
      </c>
      <c r="E104" s="43">
        <f>E105</f>
        <v>94.3</v>
      </c>
      <c r="F104" s="43"/>
      <c r="G104" s="221"/>
      <c r="H104" s="31"/>
    </row>
    <row r="105" spans="1:8" s="11" customFormat="1" ht="30.75">
      <c r="A105" s="52" t="s">
        <v>125</v>
      </c>
      <c r="B105" s="45" t="s">
        <v>175</v>
      </c>
      <c r="C105" s="45" t="s">
        <v>176</v>
      </c>
      <c r="D105" s="45" t="s">
        <v>126</v>
      </c>
      <c r="E105" s="43">
        <v>94.3</v>
      </c>
      <c r="F105" s="43"/>
      <c r="G105" s="221"/>
      <c r="H105" s="31"/>
    </row>
    <row r="106" spans="1:8" s="11" customFormat="1" ht="15.75">
      <c r="A106" s="46" t="s">
        <v>178</v>
      </c>
      <c r="B106" s="33" t="s">
        <v>179</v>
      </c>
      <c r="C106" s="33"/>
      <c r="D106" s="33"/>
      <c r="E106" s="13">
        <f>E107</f>
        <v>226.10000000000002</v>
      </c>
      <c r="F106" s="13">
        <v>0</v>
      </c>
      <c r="G106" s="221"/>
      <c r="H106" s="31"/>
    </row>
    <row r="107" spans="1:8" s="37" customFormat="1" ht="52.5" customHeight="1">
      <c r="A107" s="50" t="s">
        <v>152</v>
      </c>
      <c r="B107" s="45" t="s">
        <v>180</v>
      </c>
      <c r="C107" s="42" t="s">
        <v>153</v>
      </c>
      <c r="D107" s="34"/>
      <c r="E107" s="43">
        <f>E111+E108+E114+E117</f>
        <v>226.10000000000002</v>
      </c>
      <c r="F107" s="43"/>
      <c r="G107" s="221"/>
      <c r="H107" s="36"/>
    </row>
    <row r="108" spans="1:8" s="37" customFormat="1" ht="15">
      <c r="A108" s="55" t="s">
        <v>181</v>
      </c>
      <c r="B108" s="45" t="s">
        <v>182</v>
      </c>
      <c r="C108" s="42" t="s">
        <v>183</v>
      </c>
      <c r="D108" s="45"/>
      <c r="E108" s="43">
        <f>E109</f>
        <v>7.500000000000011</v>
      </c>
      <c r="F108" s="43"/>
      <c r="G108" s="221"/>
      <c r="H108" s="36"/>
    </row>
    <row r="109" spans="1:8" s="37" customFormat="1" ht="15">
      <c r="A109" s="52" t="s">
        <v>123</v>
      </c>
      <c r="B109" s="45" t="s">
        <v>182</v>
      </c>
      <c r="C109" s="42" t="s">
        <v>183</v>
      </c>
      <c r="D109" s="45" t="s">
        <v>124</v>
      </c>
      <c r="E109" s="43">
        <f>E110</f>
        <v>7.500000000000011</v>
      </c>
      <c r="F109" s="43"/>
      <c r="G109" s="221"/>
      <c r="H109" s="36"/>
    </row>
    <row r="110" spans="1:8" s="37" customFormat="1" ht="30.75">
      <c r="A110" s="52" t="s">
        <v>125</v>
      </c>
      <c r="B110" s="45" t="s">
        <v>182</v>
      </c>
      <c r="C110" s="42" t="s">
        <v>183</v>
      </c>
      <c r="D110" s="45" t="s">
        <v>126</v>
      </c>
      <c r="E110" s="43">
        <f>330.8-320-1.8-1.5</f>
        <v>7.500000000000011</v>
      </c>
      <c r="F110" s="43"/>
      <c r="G110" s="221"/>
      <c r="H110" s="36"/>
    </row>
    <row r="111" spans="1:8" s="11" customFormat="1" ht="46.5">
      <c r="A111" s="54" t="s">
        <v>184</v>
      </c>
      <c r="B111" s="45" t="s">
        <v>182</v>
      </c>
      <c r="C111" s="42" t="s">
        <v>185</v>
      </c>
      <c r="D111" s="42"/>
      <c r="E111" s="17">
        <f>E112</f>
        <v>33.099999999999994</v>
      </c>
      <c r="F111" s="17"/>
      <c r="G111" s="221"/>
      <c r="H111" s="31"/>
    </row>
    <row r="112" spans="1:8" s="11" customFormat="1" ht="15">
      <c r="A112" s="52" t="s">
        <v>123</v>
      </c>
      <c r="B112" s="45" t="s">
        <v>182</v>
      </c>
      <c r="C112" s="42" t="s">
        <v>185</v>
      </c>
      <c r="D112" s="45" t="s">
        <v>124</v>
      </c>
      <c r="E112" s="43">
        <f>E113</f>
        <v>33.099999999999994</v>
      </c>
      <c r="F112" s="43"/>
      <c r="G112" s="221"/>
      <c r="H112" s="31"/>
    </row>
    <row r="113" spans="1:8" s="11" customFormat="1" ht="30.75">
      <c r="A113" s="52" t="s">
        <v>125</v>
      </c>
      <c r="B113" s="45" t="s">
        <v>182</v>
      </c>
      <c r="C113" s="42" t="s">
        <v>185</v>
      </c>
      <c r="D113" s="45" t="s">
        <v>126</v>
      </c>
      <c r="E113" s="43">
        <f>92.3-66.2-13+70+1.5-76+57-32.5</f>
        <v>33.099999999999994</v>
      </c>
      <c r="F113" s="43"/>
      <c r="G113" s="221"/>
      <c r="H113" s="31"/>
    </row>
    <row r="114" spans="1:8" s="11" customFormat="1" ht="15">
      <c r="A114" s="55" t="s">
        <v>186</v>
      </c>
      <c r="B114" s="45" t="s">
        <v>187</v>
      </c>
      <c r="C114" s="42" t="s">
        <v>188</v>
      </c>
      <c r="D114" s="45"/>
      <c r="E114" s="43">
        <f>E115</f>
        <v>132.2</v>
      </c>
      <c r="F114" s="43"/>
      <c r="G114" s="221"/>
      <c r="H114" s="31"/>
    </row>
    <row r="115" spans="1:8" s="11" customFormat="1" ht="15">
      <c r="A115" s="52" t="s">
        <v>123</v>
      </c>
      <c r="B115" s="45" t="s">
        <v>187</v>
      </c>
      <c r="C115" s="42" t="s">
        <v>188</v>
      </c>
      <c r="D115" s="45" t="s">
        <v>124</v>
      </c>
      <c r="E115" s="43">
        <f>E116</f>
        <v>132.2</v>
      </c>
      <c r="F115" s="43"/>
      <c r="G115" s="221"/>
      <c r="H115" s="31"/>
    </row>
    <row r="116" spans="1:8" s="11" customFormat="1" ht="30.75">
      <c r="A116" s="52" t="s">
        <v>125</v>
      </c>
      <c r="B116" s="45" t="s">
        <v>187</v>
      </c>
      <c r="C116" s="42" t="s">
        <v>188</v>
      </c>
      <c r="D116" s="45" t="s">
        <v>126</v>
      </c>
      <c r="E116" s="43">
        <f>99.7+32.5</f>
        <v>132.2</v>
      </c>
      <c r="F116" s="43"/>
      <c r="G116" s="221"/>
      <c r="H116" s="31"/>
    </row>
    <row r="117" spans="1:8" s="11" customFormat="1" ht="34.5" customHeight="1">
      <c r="A117" s="55" t="s">
        <v>189</v>
      </c>
      <c r="B117" s="45" t="s">
        <v>187</v>
      </c>
      <c r="C117" s="42" t="s">
        <v>190</v>
      </c>
      <c r="D117" s="45"/>
      <c r="E117" s="43">
        <f>E118</f>
        <v>53.3</v>
      </c>
      <c r="F117" s="43"/>
      <c r="G117" s="221"/>
      <c r="H117" s="31"/>
    </row>
    <row r="118" spans="1:8" s="11" customFormat="1" ht="15">
      <c r="A118" s="52" t="s">
        <v>123</v>
      </c>
      <c r="B118" s="45" t="s">
        <v>187</v>
      </c>
      <c r="C118" s="42" t="s">
        <v>190</v>
      </c>
      <c r="D118" s="45" t="s">
        <v>124</v>
      </c>
      <c r="E118" s="43">
        <f>E119</f>
        <v>53.3</v>
      </c>
      <c r="F118" s="43"/>
      <c r="G118" s="221"/>
      <c r="H118" s="31"/>
    </row>
    <row r="119" spans="1:8" s="11" customFormat="1" ht="30.75">
      <c r="A119" s="52" t="s">
        <v>125</v>
      </c>
      <c r="B119" s="45" t="s">
        <v>187</v>
      </c>
      <c r="C119" s="42" t="s">
        <v>190</v>
      </c>
      <c r="D119" s="45" t="s">
        <v>126</v>
      </c>
      <c r="E119" s="43">
        <v>53.3</v>
      </c>
      <c r="F119" s="43"/>
      <c r="G119" s="221"/>
      <c r="H119" s="31"/>
    </row>
    <row r="120" spans="1:8" s="37" customFormat="1" ht="15.75">
      <c r="A120" s="46" t="s">
        <v>191</v>
      </c>
      <c r="B120" s="33" t="s">
        <v>192</v>
      </c>
      <c r="C120" s="34"/>
      <c r="D120" s="34"/>
      <c r="E120" s="53">
        <f>E121+E152+E144</f>
        <v>98634.72059999999</v>
      </c>
      <c r="F120" s="53">
        <f>F121+F144+F141</f>
        <v>17003.59</v>
      </c>
      <c r="G120" s="221"/>
      <c r="H120" s="36"/>
    </row>
    <row r="121" spans="1:8" s="37" customFormat="1" ht="15.75">
      <c r="A121" s="56" t="s">
        <v>193</v>
      </c>
      <c r="B121" s="45" t="s">
        <v>194</v>
      </c>
      <c r="C121" s="34"/>
      <c r="D121" s="34"/>
      <c r="E121" s="53">
        <f>E122+E134</f>
        <v>98173.72059999999</v>
      </c>
      <c r="F121" s="53">
        <f>F122</f>
        <v>11068</v>
      </c>
      <c r="G121" s="221"/>
      <c r="H121" s="36"/>
    </row>
    <row r="122" spans="1:8" s="37" customFormat="1" ht="46.5">
      <c r="A122" s="15" t="s">
        <v>195</v>
      </c>
      <c r="B122" s="45" t="s">
        <v>194</v>
      </c>
      <c r="C122" s="42" t="s">
        <v>196</v>
      </c>
      <c r="D122" s="34"/>
      <c r="E122" s="13">
        <f>E123</f>
        <v>86175.75999999998</v>
      </c>
      <c r="F122" s="13">
        <f>F131</f>
        <v>11068</v>
      </c>
      <c r="G122" s="221"/>
      <c r="H122" s="36"/>
    </row>
    <row r="123" spans="1:8" s="37" customFormat="1" ht="15">
      <c r="A123" s="54" t="s">
        <v>197</v>
      </c>
      <c r="B123" s="45" t="s">
        <v>194</v>
      </c>
      <c r="C123" s="42" t="s">
        <v>196</v>
      </c>
      <c r="D123" s="45"/>
      <c r="E123" s="43">
        <f>E124+E128+E131+E126</f>
        <v>86175.75999999998</v>
      </c>
      <c r="F123" s="13"/>
      <c r="G123" s="221"/>
      <c r="H123" s="36"/>
    </row>
    <row r="124" spans="1:8" s="37" customFormat="1" ht="15">
      <c r="A124" s="52" t="s">
        <v>198</v>
      </c>
      <c r="B124" s="45" t="s">
        <v>194</v>
      </c>
      <c r="C124" s="42" t="s">
        <v>199</v>
      </c>
      <c r="D124" s="45" t="s">
        <v>124</v>
      </c>
      <c r="E124" s="43">
        <f>E125</f>
        <v>45723.79999999999</v>
      </c>
      <c r="F124" s="13"/>
      <c r="G124" s="221"/>
      <c r="H124" s="36"/>
    </row>
    <row r="125" spans="1:8" s="37" customFormat="1" ht="15">
      <c r="A125" s="52" t="s">
        <v>123</v>
      </c>
      <c r="B125" s="45" t="s">
        <v>194</v>
      </c>
      <c r="C125" s="42" t="s">
        <v>199</v>
      </c>
      <c r="D125" s="45" t="s">
        <v>126</v>
      </c>
      <c r="E125" s="43">
        <f>8645.3+6490.4-700-1324.4-6100.6+200+120+2035.3+50000+15976.9-8610.8-9478.4-500-7398-1373.9-1638-70-500-50</f>
        <v>45723.79999999999</v>
      </c>
      <c r="F125" s="13"/>
      <c r="G125" s="221"/>
      <c r="H125" s="36"/>
    </row>
    <row r="126" spans="1:8" s="37" customFormat="1" ht="15">
      <c r="A126" s="52" t="s">
        <v>127</v>
      </c>
      <c r="B126" s="45" t="s">
        <v>194</v>
      </c>
      <c r="C126" s="42" t="s">
        <v>199</v>
      </c>
      <c r="D126" s="45" t="s">
        <v>128</v>
      </c>
      <c r="E126" s="43">
        <f>E127</f>
        <v>200</v>
      </c>
      <c r="F126" s="13"/>
      <c r="G126" s="221"/>
      <c r="H126" s="36"/>
    </row>
    <row r="127" spans="1:8" s="37" customFormat="1" ht="15">
      <c r="A127" s="52" t="s">
        <v>129</v>
      </c>
      <c r="B127" s="45" t="s">
        <v>194</v>
      </c>
      <c r="C127" s="42" t="s">
        <v>199</v>
      </c>
      <c r="D127" s="45" t="s">
        <v>130</v>
      </c>
      <c r="E127" s="43">
        <v>200</v>
      </c>
      <c r="F127" s="13"/>
      <c r="G127" s="221"/>
      <c r="H127" s="36"/>
    </row>
    <row r="128" spans="1:8" s="11" customFormat="1" ht="15">
      <c r="A128" s="52" t="s">
        <v>200</v>
      </c>
      <c r="B128" s="45" t="s">
        <v>194</v>
      </c>
      <c r="C128" s="42" t="s">
        <v>201</v>
      </c>
      <c r="D128" s="45"/>
      <c r="E128" s="43">
        <f>E129</f>
        <v>28534.76</v>
      </c>
      <c r="F128" s="43"/>
      <c r="G128" s="221"/>
      <c r="H128" s="31"/>
    </row>
    <row r="129" spans="1:8" s="11" customFormat="1" ht="15">
      <c r="A129" s="52" t="s">
        <v>123</v>
      </c>
      <c r="B129" s="45" t="s">
        <v>194</v>
      </c>
      <c r="C129" s="42" t="s">
        <v>201</v>
      </c>
      <c r="D129" s="45" t="s">
        <v>124</v>
      </c>
      <c r="E129" s="43">
        <f>E130</f>
        <v>28534.76</v>
      </c>
      <c r="F129" s="43"/>
      <c r="G129" s="221"/>
      <c r="H129" s="31"/>
    </row>
    <row r="130" spans="1:8" s="11" customFormat="1" ht="30.75">
      <c r="A130" s="52" t="s">
        <v>125</v>
      </c>
      <c r="B130" s="45" t="s">
        <v>194</v>
      </c>
      <c r="C130" s="42" t="s">
        <v>201</v>
      </c>
      <c r="D130" s="45" t="s">
        <v>126</v>
      </c>
      <c r="E130" s="43">
        <f>28019.1-2730+2877.73+546.73-78.8-100</f>
        <v>28534.76</v>
      </c>
      <c r="F130" s="43"/>
      <c r="G130" s="221"/>
      <c r="H130" s="31"/>
    </row>
    <row r="131" spans="1:8" s="11" customFormat="1" ht="64.5" customHeight="1">
      <c r="A131" s="52" t="s">
        <v>202</v>
      </c>
      <c r="B131" s="45" t="s">
        <v>194</v>
      </c>
      <c r="C131" s="42" t="s">
        <v>203</v>
      </c>
      <c r="D131" s="45"/>
      <c r="E131" s="43">
        <f>E132</f>
        <v>11717.2</v>
      </c>
      <c r="F131" s="43">
        <v>11068</v>
      </c>
      <c r="G131" s="221"/>
      <c r="H131" s="31"/>
    </row>
    <row r="132" spans="1:8" s="11" customFormat="1" ht="15">
      <c r="A132" s="52" t="s">
        <v>123</v>
      </c>
      <c r="B132" s="45" t="s">
        <v>194</v>
      </c>
      <c r="C132" s="42" t="s">
        <v>203</v>
      </c>
      <c r="D132" s="45" t="s">
        <v>124</v>
      </c>
      <c r="E132" s="43">
        <f>E133</f>
        <v>11717.2</v>
      </c>
      <c r="F132" s="43"/>
      <c r="G132" s="221"/>
      <c r="H132" s="31"/>
    </row>
    <row r="133" spans="1:8" s="11" customFormat="1" ht="30.75">
      <c r="A133" s="52" t="s">
        <v>125</v>
      </c>
      <c r="B133" s="45" t="s">
        <v>194</v>
      </c>
      <c r="C133" s="42" t="s">
        <v>203</v>
      </c>
      <c r="D133" s="45" t="s">
        <v>126</v>
      </c>
      <c r="E133" s="43">
        <f>11410+649.2-342</f>
        <v>11717.2</v>
      </c>
      <c r="F133" s="43"/>
      <c r="G133" s="221"/>
      <c r="H133" s="31"/>
    </row>
    <row r="134" spans="1:8" s="11" customFormat="1" ht="46.5">
      <c r="A134" s="52" t="s">
        <v>204</v>
      </c>
      <c r="B134" s="45" t="s">
        <v>194</v>
      </c>
      <c r="C134" s="45" t="s">
        <v>205</v>
      </c>
      <c r="D134" s="45"/>
      <c r="E134" s="43">
        <f>E135</f>
        <v>11997.9606</v>
      </c>
      <c r="F134" s="43"/>
      <c r="G134" s="221"/>
      <c r="H134" s="31"/>
    </row>
    <row r="135" spans="1:8" s="11" customFormat="1" ht="15">
      <c r="A135" s="52" t="s">
        <v>206</v>
      </c>
      <c r="B135" s="45" t="s">
        <v>194</v>
      </c>
      <c r="C135" s="45" t="s">
        <v>207</v>
      </c>
      <c r="D135" s="45"/>
      <c r="E135" s="43">
        <f>E136</f>
        <v>11997.9606</v>
      </c>
      <c r="F135" s="43"/>
      <c r="G135" s="221"/>
      <c r="H135" s="31"/>
    </row>
    <row r="136" spans="1:8" s="11" customFormat="1" ht="15">
      <c r="A136" s="57" t="s">
        <v>208</v>
      </c>
      <c r="B136" s="45" t="s">
        <v>194</v>
      </c>
      <c r="C136" s="45" t="s">
        <v>209</v>
      </c>
      <c r="D136" s="45"/>
      <c r="E136" s="43">
        <f>E137+E140</f>
        <v>11997.9606</v>
      </c>
      <c r="F136" s="43"/>
      <c r="G136" s="221"/>
      <c r="H136" s="31"/>
    </row>
    <row r="137" spans="1:8" s="11" customFormat="1" ht="15">
      <c r="A137" s="52" t="s">
        <v>210</v>
      </c>
      <c r="B137" s="45" t="s">
        <v>194</v>
      </c>
      <c r="C137" s="45" t="s">
        <v>211</v>
      </c>
      <c r="D137" s="45"/>
      <c r="E137" s="43">
        <f>E138</f>
        <v>4968.2706</v>
      </c>
      <c r="F137" s="43"/>
      <c r="G137" s="221"/>
      <c r="H137" s="31"/>
    </row>
    <row r="138" spans="1:8" s="11" customFormat="1" ht="15">
      <c r="A138" s="52" t="s">
        <v>123</v>
      </c>
      <c r="B138" s="45" t="s">
        <v>194</v>
      </c>
      <c r="C138" s="45" t="s">
        <v>211</v>
      </c>
      <c r="D138" s="45" t="s">
        <v>124</v>
      </c>
      <c r="E138" s="43">
        <f>E139</f>
        <v>4968.2706</v>
      </c>
      <c r="F138" s="43"/>
      <c r="G138" s="221"/>
      <c r="H138" s="31"/>
    </row>
    <row r="139" spans="1:8" s="11" customFormat="1" ht="30.75">
      <c r="A139" s="52" t="s">
        <v>125</v>
      </c>
      <c r="B139" s="45" t="s">
        <v>194</v>
      </c>
      <c r="C139" s="45" t="s">
        <v>211</v>
      </c>
      <c r="D139" s="45" t="s">
        <v>126</v>
      </c>
      <c r="E139" s="43">
        <f>800+4500-331.7294</f>
        <v>4968.2706</v>
      </c>
      <c r="F139" s="43"/>
      <c r="G139" s="221"/>
      <c r="H139" s="31"/>
    </row>
    <row r="140" spans="1:8" s="11" customFormat="1" ht="15">
      <c r="A140" s="52" t="s">
        <v>212</v>
      </c>
      <c r="B140" s="45" t="s">
        <v>213</v>
      </c>
      <c r="C140" s="45" t="s">
        <v>214</v>
      </c>
      <c r="D140" s="45"/>
      <c r="E140" s="43">
        <f>E141</f>
        <v>7029.6900000000005</v>
      </c>
      <c r="F140" s="43"/>
      <c r="G140" s="221"/>
      <c r="H140" s="31"/>
    </row>
    <row r="141" spans="1:8" s="11" customFormat="1" ht="22.5" customHeight="1">
      <c r="A141" s="52" t="s">
        <v>215</v>
      </c>
      <c r="B141" s="45" t="s">
        <v>194</v>
      </c>
      <c r="C141" s="45" t="s">
        <v>216</v>
      </c>
      <c r="D141" s="45"/>
      <c r="E141" s="43">
        <f>E142</f>
        <v>7029.6900000000005</v>
      </c>
      <c r="F141" s="43">
        <v>5721.59</v>
      </c>
      <c r="G141" s="221"/>
      <c r="H141" s="31"/>
    </row>
    <row r="142" spans="1:8" s="11" customFormat="1" ht="15">
      <c r="A142" s="52" t="s">
        <v>123</v>
      </c>
      <c r="B142" s="45" t="s">
        <v>194</v>
      </c>
      <c r="C142" s="45" t="s">
        <v>216</v>
      </c>
      <c r="D142" s="45" t="s">
        <v>124</v>
      </c>
      <c r="E142" s="43">
        <f>E143</f>
        <v>7029.6900000000005</v>
      </c>
      <c r="F142" s="43"/>
      <c r="G142" s="221"/>
      <c r="H142" s="31"/>
    </row>
    <row r="143" spans="1:8" s="11" customFormat="1" ht="30.75">
      <c r="A143" s="52" t="s">
        <v>125</v>
      </c>
      <c r="B143" s="45" t="s">
        <v>194</v>
      </c>
      <c r="C143" s="45" t="s">
        <v>216</v>
      </c>
      <c r="D143" s="45" t="s">
        <v>126</v>
      </c>
      <c r="E143" s="43">
        <f>2759.13+2962.46+1308.1</f>
        <v>7029.6900000000005</v>
      </c>
      <c r="F143" s="43"/>
      <c r="G143" s="221"/>
      <c r="H143" s="31"/>
    </row>
    <row r="144" spans="1:8" s="11" customFormat="1" ht="15.75">
      <c r="A144" s="46" t="s">
        <v>217</v>
      </c>
      <c r="B144" s="34" t="s">
        <v>218</v>
      </c>
      <c r="C144" s="34"/>
      <c r="D144" s="45"/>
      <c r="E144" s="43">
        <f>E146</f>
        <v>261</v>
      </c>
      <c r="F144" s="43">
        <f>F149</f>
        <v>214</v>
      </c>
      <c r="G144" s="221"/>
      <c r="H144" s="31"/>
    </row>
    <row r="145" spans="1:8" s="11" customFormat="1" ht="46.5">
      <c r="A145" s="52" t="s">
        <v>204</v>
      </c>
      <c r="B145" s="45" t="s">
        <v>218</v>
      </c>
      <c r="C145" s="45" t="s">
        <v>205</v>
      </c>
      <c r="D145" s="45"/>
      <c r="E145" s="43">
        <f aca="true" t="shared" si="0" ref="E145:E150">E146</f>
        <v>261</v>
      </c>
      <c r="F145" s="43"/>
      <c r="G145" s="221"/>
      <c r="H145" s="31"/>
    </row>
    <row r="146" spans="1:8" s="11" customFormat="1" ht="30.75">
      <c r="A146" s="52" t="s">
        <v>219</v>
      </c>
      <c r="B146" s="45" t="s">
        <v>218</v>
      </c>
      <c r="C146" s="45" t="s">
        <v>220</v>
      </c>
      <c r="D146" s="45"/>
      <c r="E146" s="43">
        <f t="shared" si="0"/>
        <v>261</v>
      </c>
      <c r="F146" s="43"/>
      <c r="G146" s="221"/>
      <c r="H146" s="31"/>
    </row>
    <row r="147" spans="1:8" s="11" customFormat="1" ht="30.75">
      <c r="A147" s="57" t="s">
        <v>221</v>
      </c>
      <c r="B147" s="45" t="s">
        <v>218</v>
      </c>
      <c r="C147" s="45" t="s">
        <v>222</v>
      </c>
      <c r="D147" s="45"/>
      <c r="E147" s="43">
        <f t="shared" si="0"/>
        <v>261</v>
      </c>
      <c r="F147" s="43"/>
      <c r="G147" s="221"/>
      <c r="H147" s="31"/>
    </row>
    <row r="148" spans="1:8" s="11" customFormat="1" ht="15">
      <c r="A148" s="52" t="s">
        <v>223</v>
      </c>
      <c r="B148" s="45" t="s">
        <v>218</v>
      </c>
      <c r="C148" s="45" t="s">
        <v>224</v>
      </c>
      <c r="D148" s="45"/>
      <c r="E148" s="43">
        <f t="shared" si="0"/>
        <v>261</v>
      </c>
      <c r="F148" s="43"/>
      <c r="G148" s="221"/>
      <c r="H148" s="31"/>
    </row>
    <row r="149" spans="1:8" s="11" customFormat="1" ht="36" customHeight="1">
      <c r="A149" s="52" t="s">
        <v>225</v>
      </c>
      <c r="B149" s="45" t="s">
        <v>218</v>
      </c>
      <c r="C149" s="45" t="s">
        <v>226</v>
      </c>
      <c r="D149" s="45"/>
      <c r="E149" s="43">
        <f t="shared" si="0"/>
        <v>261</v>
      </c>
      <c r="F149" s="43">
        <v>214</v>
      </c>
      <c r="G149" s="221"/>
      <c r="H149" s="31"/>
    </row>
    <row r="150" spans="1:8" s="11" customFormat="1" ht="15">
      <c r="A150" s="15" t="s">
        <v>123</v>
      </c>
      <c r="B150" s="45" t="s">
        <v>218</v>
      </c>
      <c r="C150" s="45" t="s">
        <v>226</v>
      </c>
      <c r="D150" s="45" t="s">
        <v>124</v>
      </c>
      <c r="E150" s="43">
        <f t="shared" si="0"/>
        <v>261</v>
      </c>
      <c r="F150" s="43"/>
      <c r="G150" s="221"/>
      <c r="H150" s="31"/>
    </row>
    <row r="151" spans="1:8" s="11" customFormat="1" ht="30.75">
      <c r="A151" s="15" t="s">
        <v>125</v>
      </c>
      <c r="B151" s="45" t="s">
        <v>218</v>
      </c>
      <c r="C151" s="45" t="s">
        <v>226</v>
      </c>
      <c r="D151" s="45" t="s">
        <v>126</v>
      </c>
      <c r="E151" s="43">
        <f>214+47</f>
        <v>261</v>
      </c>
      <c r="F151" s="43"/>
      <c r="G151" s="221"/>
      <c r="H151" s="31"/>
    </row>
    <row r="152" spans="1:8" s="11" customFormat="1" ht="15.75">
      <c r="A152" s="46" t="s">
        <v>227</v>
      </c>
      <c r="B152" s="45" t="s">
        <v>228</v>
      </c>
      <c r="C152" s="42"/>
      <c r="D152" s="45"/>
      <c r="E152" s="13">
        <f>E153</f>
        <v>200</v>
      </c>
      <c r="F152" s="43"/>
      <c r="G152" s="221"/>
      <c r="H152" s="31"/>
    </row>
    <row r="153" spans="1:8" s="11" customFormat="1" ht="46.5">
      <c r="A153" s="15" t="s">
        <v>158</v>
      </c>
      <c r="B153" s="45" t="s">
        <v>228</v>
      </c>
      <c r="C153" s="45" t="s">
        <v>229</v>
      </c>
      <c r="D153" s="45"/>
      <c r="E153" s="43">
        <f>E154</f>
        <v>200</v>
      </c>
      <c r="F153" s="43"/>
      <c r="G153" s="221"/>
      <c r="H153" s="31"/>
    </row>
    <row r="154" spans="1:8" s="11" customFormat="1" ht="15">
      <c r="A154" s="41" t="s">
        <v>230</v>
      </c>
      <c r="B154" s="45" t="s">
        <v>228</v>
      </c>
      <c r="C154" s="45" t="s">
        <v>231</v>
      </c>
      <c r="D154" s="45"/>
      <c r="E154" s="43">
        <f>E155</f>
        <v>200</v>
      </c>
      <c r="F154" s="43"/>
      <c r="G154" s="221"/>
      <c r="H154" s="31"/>
    </row>
    <row r="155" spans="1:8" s="11" customFormat="1" ht="15">
      <c r="A155" s="15" t="s">
        <v>123</v>
      </c>
      <c r="B155" s="45" t="s">
        <v>228</v>
      </c>
      <c r="C155" s="45" t="s">
        <v>231</v>
      </c>
      <c r="D155" s="45" t="s">
        <v>124</v>
      </c>
      <c r="E155" s="43">
        <f>E156</f>
        <v>200</v>
      </c>
      <c r="F155" s="43"/>
      <c r="G155" s="221"/>
      <c r="H155" s="31"/>
    </row>
    <row r="156" spans="1:8" s="11" customFormat="1" ht="30.75">
      <c r="A156" s="15" t="s">
        <v>125</v>
      </c>
      <c r="B156" s="45" t="s">
        <v>228</v>
      </c>
      <c r="C156" s="45" t="s">
        <v>231</v>
      </c>
      <c r="D156" s="45" t="s">
        <v>126</v>
      </c>
      <c r="E156" s="43">
        <v>200</v>
      </c>
      <c r="F156" s="43"/>
      <c r="G156" s="221"/>
      <c r="H156" s="31"/>
    </row>
    <row r="157" spans="1:8" s="37" customFormat="1" ht="15.75">
      <c r="A157" s="46" t="s">
        <v>232</v>
      </c>
      <c r="B157" s="33" t="s">
        <v>233</v>
      </c>
      <c r="C157" s="34"/>
      <c r="D157" s="34"/>
      <c r="E157" s="53">
        <f>E158+E191+E201</f>
        <v>206104.0662</v>
      </c>
      <c r="F157" s="53">
        <f>F158+F191+F201</f>
        <v>77165.21706</v>
      </c>
      <c r="G157" s="221"/>
      <c r="H157" s="36"/>
    </row>
    <row r="158" spans="1:8" s="37" customFormat="1" ht="15.75">
      <c r="A158" s="56" t="s">
        <v>234</v>
      </c>
      <c r="B158" s="33" t="s">
        <v>235</v>
      </c>
      <c r="C158" s="34"/>
      <c r="D158" s="34"/>
      <c r="E158" s="53">
        <f>E159+E171+E187</f>
        <v>77326.68455</v>
      </c>
      <c r="F158" s="53">
        <f>F159+F173</f>
        <v>60473.49706</v>
      </c>
      <c r="G158" s="221"/>
      <c r="H158" s="36"/>
    </row>
    <row r="159" spans="1:8" s="37" customFormat="1" ht="46.5">
      <c r="A159" s="15" t="s">
        <v>236</v>
      </c>
      <c r="B159" s="45" t="s">
        <v>235</v>
      </c>
      <c r="C159" s="45" t="s">
        <v>237</v>
      </c>
      <c r="D159" s="34"/>
      <c r="E159" s="51">
        <f>E163+E166</f>
        <v>62177.73706</v>
      </c>
      <c r="F159" s="51">
        <f>E163</f>
        <v>60177.73706</v>
      </c>
      <c r="G159" s="221"/>
      <c r="H159" s="36"/>
    </row>
    <row r="160" spans="1:8" s="37" customFormat="1" ht="30.75" hidden="1">
      <c r="A160" s="52" t="s">
        <v>238</v>
      </c>
      <c r="B160" s="45" t="s">
        <v>235</v>
      </c>
      <c r="C160" s="45" t="s">
        <v>239</v>
      </c>
      <c r="D160" s="45"/>
      <c r="E160" s="51">
        <f>E161</f>
        <v>0</v>
      </c>
      <c r="F160" s="51">
        <f>E162</f>
        <v>0</v>
      </c>
      <c r="G160" s="221"/>
      <c r="H160" s="36"/>
    </row>
    <row r="161" spans="1:8" s="37" customFormat="1" ht="15" hidden="1">
      <c r="A161" s="15" t="s">
        <v>123</v>
      </c>
      <c r="B161" s="45" t="s">
        <v>235</v>
      </c>
      <c r="C161" s="45" t="s">
        <v>239</v>
      </c>
      <c r="D161" s="45" t="s">
        <v>126</v>
      </c>
      <c r="E161" s="51">
        <f>E162</f>
        <v>0</v>
      </c>
      <c r="F161" s="51"/>
      <c r="G161" s="221"/>
      <c r="H161" s="36"/>
    </row>
    <row r="162" spans="1:8" s="37" customFormat="1" ht="30.75" hidden="1">
      <c r="A162" s="15" t="s">
        <v>125</v>
      </c>
      <c r="B162" s="45" t="s">
        <v>235</v>
      </c>
      <c r="C162" s="45" t="s">
        <v>239</v>
      </c>
      <c r="D162" s="45" t="s">
        <v>126</v>
      </c>
      <c r="E162" s="51">
        <v>0</v>
      </c>
      <c r="F162" s="51"/>
      <c r="G162" s="221"/>
      <c r="H162" s="36"/>
    </row>
    <row r="163" spans="1:8" s="37" customFormat="1" ht="82.5" customHeight="1">
      <c r="A163" s="52" t="s">
        <v>240</v>
      </c>
      <c r="B163" s="45" t="s">
        <v>235</v>
      </c>
      <c r="C163" s="45" t="s">
        <v>239</v>
      </c>
      <c r="D163" s="45"/>
      <c r="E163" s="51">
        <f>E164</f>
        <v>60177.73706</v>
      </c>
      <c r="F163" s="51"/>
      <c r="G163" s="221"/>
      <c r="H163" s="36"/>
    </row>
    <row r="164" spans="1:8" s="37" customFormat="1" ht="15">
      <c r="A164" s="15" t="s">
        <v>123</v>
      </c>
      <c r="B164" s="45" t="s">
        <v>235</v>
      </c>
      <c r="C164" s="45" t="s">
        <v>239</v>
      </c>
      <c r="D164" s="45" t="s">
        <v>126</v>
      </c>
      <c r="E164" s="51">
        <f>E165</f>
        <v>60177.73706</v>
      </c>
      <c r="F164" s="51"/>
      <c r="G164" s="221"/>
      <c r="H164" s="36"/>
    </row>
    <row r="165" spans="1:8" s="37" customFormat="1" ht="30.75">
      <c r="A165" s="15" t="s">
        <v>125</v>
      </c>
      <c r="B165" s="45" t="s">
        <v>235</v>
      </c>
      <c r="C165" s="45" t="s">
        <v>239</v>
      </c>
      <c r="D165" s="45" t="s">
        <v>126</v>
      </c>
      <c r="E165" s="51">
        <f>42956.33202+27997.62151-10776.21647</f>
        <v>60177.73706</v>
      </c>
      <c r="F165" s="51"/>
      <c r="G165" s="221"/>
      <c r="H165" s="36"/>
    </row>
    <row r="166" spans="1:8" s="37" customFormat="1" ht="78">
      <c r="A166" s="52" t="s">
        <v>241</v>
      </c>
      <c r="B166" s="45" t="s">
        <v>235</v>
      </c>
      <c r="C166" s="45" t="s">
        <v>242</v>
      </c>
      <c r="D166" s="45"/>
      <c r="E166" s="51">
        <f>E167</f>
        <v>2000</v>
      </c>
      <c r="F166" s="51"/>
      <c r="G166" s="221"/>
      <c r="H166" s="36"/>
    </row>
    <row r="167" spans="1:8" s="37" customFormat="1" ht="15">
      <c r="A167" s="15" t="s">
        <v>123</v>
      </c>
      <c r="B167" s="45" t="s">
        <v>235</v>
      </c>
      <c r="C167" s="45" t="s">
        <v>242</v>
      </c>
      <c r="D167" s="45" t="s">
        <v>126</v>
      </c>
      <c r="E167" s="51">
        <f>E168</f>
        <v>2000</v>
      </c>
      <c r="F167" s="51"/>
      <c r="G167" s="221"/>
      <c r="H167" s="36"/>
    </row>
    <row r="168" spans="1:8" s="37" customFormat="1" ht="30.75">
      <c r="A168" s="15" t="s">
        <v>125</v>
      </c>
      <c r="B168" s="45" t="s">
        <v>235</v>
      </c>
      <c r="C168" s="45" t="s">
        <v>242</v>
      </c>
      <c r="D168" s="45" t="s">
        <v>126</v>
      </c>
      <c r="E168" s="51">
        <f>7000-5000</f>
        <v>2000</v>
      </c>
      <c r="F168" s="51"/>
      <c r="G168" s="221"/>
      <c r="H168" s="36"/>
    </row>
    <row r="169" spans="1:8" s="37" customFormat="1" ht="30.75" hidden="1">
      <c r="A169" s="52" t="s">
        <v>243</v>
      </c>
      <c r="B169" s="45" t="s">
        <v>235</v>
      </c>
      <c r="C169" s="45" t="s">
        <v>244</v>
      </c>
      <c r="D169" s="45" t="s">
        <v>245</v>
      </c>
      <c r="E169" s="51">
        <f>E170</f>
        <v>0</v>
      </c>
      <c r="F169" s="51"/>
      <c r="G169" s="221"/>
      <c r="H169" s="36"/>
    </row>
    <row r="170" spans="1:8" s="37" customFormat="1" ht="15" hidden="1">
      <c r="A170" s="52" t="s">
        <v>246</v>
      </c>
      <c r="B170" s="45" t="s">
        <v>235</v>
      </c>
      <c r="C170" s="45" t="s">
        <v>244</v>
      </c>
      <c r="D170" s="45" t="s">
        <v>247</v>
      </c>
      <c r="E170" s="51">
        <v>0</v>
      </c>
      <c r="F170" s="51"/>
      <c r="G170" s="221"/>
      <c r="H170" s="36"/>
    </row>
    <row r="171" spans="1:8" s="37" customFormat="1" ht="46.5">
      <c r="A171" s="52" t="s">
        <v>204</v>
      </c>
      <c r="B171" s="45" t="s">
        <v>235</v>
      </c>
      <c r="C171" s="45" t="s">
        <v>205</v>
      </c>
      <c r="D171" s="45"/>
      <c r="E171" s="43">
        <f>E172</f>
        <v>15018.94749</v>
      </c>
      <c r="F171" s="43"/>
      <c r="G171" s="221"/>
      <c r="H171" s="36"/>
    </row>
    <row r="172" spans="1:8" s="37" customFormat="1" ht="30.75">
      <c r="A172" s="52" t="s">
        <v>248</v>
      </c>
      <c r="B172" s="45" t="s">
        <v>235</v>
      </c>
      <c r="C172" s="45" t="s">
        <v>249</v>
      </c>
      <c r="D172" s="45"/>
      <c r="E172" s="43">
        <f>E173+E177+E184</f>
        <v>15018.94749</v>
      </c>
      <c r="F172" s="43"/>
      <c r="G172" s="221"/>
      <c r="H172" s="36"/>
    </row>
    <row r="173" spans="1:8" s="37" customFormat="1" ht="30.75">
      <c r="A173" s="57" t="s">
        <v>250</v>
      </c>
      <c r="B173" s="45" t="s">
        <v>235</v>
      </c>
      <c r="C173" s="45" t="s">
        <v>251</v>
      </c>
      <c r="D173" s="45"/>
      <c r="E173" s="43">
        <f>E174</f>
        <v>360.24</v>
      </c>
      <c r="F173" s="43">
        <f>F174</f>
        <v>295.76</v>
      </c>
      <c r="G173" s="221"/>
      <c r="H173" s="36"/>
    </row>
    <row r="174" spans="1:8" s="37" customFormat="1" ht="46.5">
      <c r="A174" s="58" t="s">
        <v>252</v>
      </c>
      <c r="B174" s="45" t="s">
        <v>235</v>
      </c>
      <c r="C174" s="45" t="s">
        <v>253</v>
      </c>
      <c r="D174" s="45"/>
      <c r="E174" s="43">
        <f>E175</f>
        <v>360.24</v>
      </c>
      <c r="F174" s="43">
        <v>295.76</v>
      </c>
      <c r="G174" s="221"/>
      <c r="H174" s="36"/>
    </row>
    <row r="175" spans="1:8" s="37" customFormat="1" ht="15">
      <c r="A175" s="52" t="s">
        <v>123</v>
      </c>
      <c r="B175" s="45" t="s">
        <v>235</v>
      </c>
      <c r="C175" s="45" t="s">
        <v>253</v>
      </c>
      <c r="D175" s="45" t="s">
        <v>128</v>
      </c>
      <c r="E175" s="43">
        <f>E176</f>
        <v>360.24</v>
      </c>
      <c r="F175" s="43"/>
      <c r="G175" s="221"/>
      <c r="H175" s="36"/>
    </row>
    <row r="176" spans="1:8" s="37" customFormat="1" ht="30.75">
      <c r="A176" s="52" t="s">
        <v>125</v>
      </c>
      <c r="B176" s="45" t="s">
        <v>235</v>
      </c>
      <c r="C176" s="45" t="s">
        <v>253</v>
      </c>
      <c r="D176" s="45" t="s">
        <v>254</v>
      </c>
      <c r="E176" s="43">
        <f>295.76+64.48</f>
        <v>360.24</v>
      </c>
      <c r="F176" s="43"/>
      <c r="G176" s="221"/>
      <c r="H176" s="36"/>
    </row>
    <row r="177" spans="1:8" s="37" customFormat="1" ht="46.5">
      <c r="A177" s="57" t="s">
        <v>255</v>
      </c>
      <c r="B177" s="45" t="s">
        <v>235</v>
      </c>
      <c r="C177" s="45" t="s">
        <v>256</v>
      </c>
      <c r="D177" s="45"/>
      <c r="E177" s="43">
        <f>E178+E181</f>
        <v>12108.70749</v>
      </c>
      <c r="F177" s="43"/>
      <c r="G177" s="221"/>
      <c r="H177" s="36"/>
    </row>
    <row r="178" spans="1:8" s="37" customFormat="1" ht="30.75">
      <c r="A178" s="15" t="s">
        <v>257</v>
      </c>
      <c r="B178" s="45" t="s">
        <v>235</v>
      </c>
      <c r="C178" s="45" t="s">
        <v>258</v>
      </c>
      <c r="D178" s="45"/>
      <c r="E178" s="43">
        <f>E179</f>
        <v>4500</v>
      </c>
      <c r="F178" s="43"/>
      <c r="G178" s="221"/>
      <c r="H178" s="36"/>
    </row>
    <row r="179" spans="1:8" s="37" customFormat="1" ht="15">
      <c r="A179" s="15" t="s">
        <v>123</v>
      </c>
      <c r="B179" s="45" t="s">
        <v>235</v>
      </c>
      <c r="C179" s="45" t="s">
        <v>258</v>
      </c>
      <c r="D179" s="45" t="s">
        <v>124</v>
      </c>
      <c r="E179" s="43">
        <f>E180</f>
        <v>4500</v>
      </c>
      <c r="F179" s="43"/>
      <c r="G179" s="221"/>
      <c r="H179" s="36"/>
    </row>
    <row r="180" spans="1:8" s="37" customFormat="1" ht="30.75">
      <c r="A180" s="15" t="s">
        <v>125</v>
      </c>
      <c r="B180" s="45" t="s">
        <v>235</v>
      </c>
      <c r="C180" s="45" t="s">
        <v>258</v>
      </c>
      <c r="D180" s="45" t="s">
        <v>126</v>
      </c>
      <c r="E180" s="43">
        <v>4500</v>
      </c>
      <c r="F180" s="43"/>
      <c r="G180" s="221"/>
      <c r="H180" s="36"/>
    </row>
    <row r="181" spans="1:8" s="37" customFormat="1" ht="15">
      <c r="A181" s="15" t="s">
        <v>259</v>
      </c>
      <c r="B181" s="45" t="s">
        <v>235</v>
      </c>
      <c r="C181" s="45" t="s">
        <v>258</v>
      </c>
      <c r="D181" s="45"/>
      <c r="E181" s="43">
        <f>E182</f>
        <v>7608.707490000001</v>
      </c>
      <c r="F181" s="43"/>
      <c r="G181" s="221"/>
      <c r="H181" s="36"/>
    </row>
    <row r="182" spans="1:8" s="37" customFormat="1" ht="15">
      <c r="A182" s="15" t="s">
        <v>123</v>
      </c>
      <c r="B182" s="45" t="s">
        <v>235</v>
      </c>
      <c r="C182" s="45" t="s">
        <v>258</v>
      </c>
      <c r="D182" s="45" t="s">
        <v>124</v>
      </c>
      <c r="E182" s="43">
        <f>E183</f>
        <v>7608.707490000001</v>
      </c>
      <c r="F182" s="43"/>
      <c r="G182" s="221"/>
      <c r="H182" s="36"/>
    </row>
    <row r="183" spans="1:8" s="37" customFormat="1" ht="30.75">
      <c r="A183" s="15" t="s">
        <v>125</v>
      </c>
      <c r="B183" s="45" t="s">
        <v>235</v>
      </c>
      <c r="C183" s="45" t="s">
        <v>258</v>
      </c>
      <c r="D183" s="45" t="s">
        <v>126</v>
      </c>
      <c r="E183" s="43">
        <f>700+2000+42.08385+776.9306+135+3954.69304</f>
        <v>7608.707490000001</v>
      </c>
      <c r="F183" s="43"/>
      <c r="G183" s="221"/>
      <c r="H183" s="36"/>
    </row>
    <row r="184" spans="1:8" s="37" customFormat="1" ht="30.75">
      <c r="A184" s="59" t="s">
        <v>260</v>
      </c>
      <c r="B184" s="45" t="s">
        <v>235</v>
      </c>
      <c r="C184" s="45" t="s">
        <v>261</v>
      </c>
      <c r="D184" s="45"/>
      <c r="E184" s="43">
        <f>E185</f>
        <v>2550</v>
      </c>
      <c r="F184" s="43"/>
      <c r="G184" s="221"/>
      <c r="H184" s="36"/>
    </row>
    <row r="185" spans="1:8" s="37" customFormat="1" ht="15">
      <c r="A185" s="52" t="s">
        <v>123</v>
      </c>
      <c r="B185" s="45" t="s">
        <v>235</v>
      </c>
      <c r="C185" s="45" t="s">
        <v>261</v>
      </c>
      <c r="D185" s="45" t="s">
        <v>124</v>
      </c>
      <c r="E185" s="43">
        <f>E186</f>
        <v>2550</v>
      </c>
      <c r="F185" s="43"/>
      <c r="G185" s="221"/>
      <c r="H185" s="36"/>
    </row>
    <row r="186" spans="1:8" s="37" customFormat="1" ht="30.75">
      <c r="A186" s="15" t="s">
        <v>125</v>
      </c>
      <c r="B186" s="45" t="s">
        <v>235</v>
      </c>
      <c r="C186" s="45" t="s">
        <v>261</v>
      </c>
      <c r="D186" s="45" t="s">
        <v>126</v>
      </c>
      <c r="E186" s="43">
        <f>1800+750</f>
        <v>2550</v>
      </c>
      <c r="F186" s="43"/>
      <c r="G186" s="221"/>
      <c r="H186" s="36"/>
    </row>
    <row r="187" spans="1:8" s="37" customFormat="1" ht="30.75">
      <c r="A187" s="15" t="s">
        <v>162</v>
      </c>
      <c r="B187" s="45" t="s">
        <v>235</v>
      </c>
      <c r="C187" s="45" t="s">
        <v>163</v>
      </c>
      <c r="D187" s="45"/>
      <c r="E187" s="43">
        <f>E188</f>
        <v>130</v>
      </c>
      <c r="F187" s="43"/>
      <c r="G187" s="221"/>
      <c r="H187" s="36"/>
    </row>
    <row r="188" spans="1:8" s="37" customFormat="1" ht="30.75">
      <c r="A188" s="15" t="s">
        <v>262</v>
      </c>
      <c r="B188" s="45" t="s">
        <v>235</v>
      </c>
      <c r="C188" s="45" t="s">
        <v>263</v>
      </c>
      <c r="D188" s="45"/>
      <c r="E188" s="43">
        <f>E189</f>
        <v>130</v>
      </c>
      <c r="F188" s="43"/>
      <c r="G188" s="221"/>
      <c r="H188" s="36"/>
    </row>
    <row r="189" spans="1:8" s="37" customFormat="1" ht="15">
      <c r="A189" s="52" t="s">
        <v>123</v>
      </c>
      <c r="B189" s="45" t="s">
        <v>235</v>
      </c>
      <c r="C189" s="45" t="s">
        <v>263</v>
      </c>
      <c r="D189" s="45" t="s">
        <v>124</v>
      </c>
      <c r="E189" s="43">
        <f>E190</f>
        <v>130</v>
      </c>
      <c r="F189" s="43"/>
      <c r="G189" s="221"/>
      <c r="H189" s="36"/>
    </row>
    <row r="190" spans="1:8" s="37" customFormat="1" ht="30.75">
      <c r="A190" s="52" t="s">
        <v>125</v>
      </c>
      <c r="B190" s="45" t="s">
        <v>235</v>
      </c>
      <c r="C190" s="45" t="s">
        <v>263</v>
      </c>
      <c r="D190" s="45" t="s">
        <v>126</v>
      </c>
      <c r="E190" s="43">
        <f>150-20</f>
        <v>130</v>
      </c>
      <c r="F190" s="43"/>
      <c r="G190" s="221"/>
      <c r="H190" s="36"/>
    </row>
    <row r="191" spans="1:8" s="37" customFormat="1" ht="15.75">
      <c r="A191" s="56" t="s">
        <v>264</v>
      </c>
      <c r="B191" s="33" t="s">
        <v>265</v>
      </c>
      <c r="C191" s="45"/>
      <c r="D191" s="45"/>
      <c r="E191" s="13">
        <f>E192</f>
        <v>48159.4</v>
      </c>
      <c r="F191" s="13">
        <f>F192</f>
        <v>10100</v>
      </c>
      <c r="G191" s="221"/>
      <c r="H191" s="36"/>
    </row>
    <row r="192" spans="1:8" s="37" customFormat="1" ht="46.5">
      <c r="A192" s="15" t="s">
        <v>266</v>
      </c>
      <c r="B192" s="45" t="s">
        <v>265</v>
      </c>
      <c r="C192" s="42" t="s">
        <v>267</v>
      </c>
      <c r="D192" s="60"/>
      <c r="E192" s="43">
        <f>E193+E195+E198</f>
        <v>48159.4</v>
      </c>
      <c r="F192" s="43">
        <f>F198</f>
        <v>10100</v>
      </c>
      <c r="G192" s="221"/>
      <c r="H192" s="36"/>
    </row>
    <row r="193" spans="1:8" s="37" customFormat="1" ht="15">
      <c r="A193" s="52" t="s">
        <v>123</v>
      </c>
      <c r="B193" s="45" t="s">
        <v>265</v>
      </c>
      <c r="C193" s="42" t="s">
        <v>268</v>
      </c>
      <c r="D193" s="60" t="s">
        <v>124</v>
      </c>
      <c r="E193" s="43">
        <f>E194</f>
        <v>14559.4</v>
      </c>
      <c r="F193" s="43"/>
      <c r="G193" s="221"/>
      <c r="H193" s="36"/>
    </row>
    <row r="194" spans="1:8" s="37" customFormat="1" ht="30.75">
      <c r="A194" s="15" t="s">
        <v>125</v>
      </c>
      <c r="B194" s="45" t="s">
        <v>265</v>
      </c>
      <c r="C194" s="42" t="s">
        <v>268</v>
      </c>
      <c r="D194" s="60" t="s">
        <v>126</v>
      </c>
      <c r="E194" s="43">
        <f>3709.8+6628.2-550+1420.9+1676.2+1000+927.4+496.9-750</f>
        <v>14559.4</v>
      </c>
      <c r="F194" s="43"/>
      <c r="G194" s="221"/>
      <c r="H194" s="36"/>
    </row>
    <row r="195" spans="1:8" s="37" customFormat="1" ht="93">
      <c r="A195" s="15" t="s">
        <v>575</v>
      </c>
      <c r="B195" s="45" t="s">
        <v>265</v>
      </c>
      <c r="C195" s="42" t="s">
        <v>576</v>
      </c>
      <c r="D195" s="60"/>
      <c r="E195" s="43">
        <f>E196</f>
        <v>23500</v>
      </c>
      <c r="F195" s="43"/>
      <c r="G195" s="221"/>
      <c r="H195" s="36"/>
    </row>
    <row r="196" spans="1:8" s="37" customFormat="1" ht="15">
      <c r="A196" s="15" t="s">
        <v>127</v>
      </c>
      <c r="B196" s="45" t="s">
        <v>265</v>
      </c>
      <c r="C196" s="42" t="s">
        <v>576</v>
      </c>
      <c r="D196" s="60" t="s">
        <v>128</v>
      </c>
      <c r="E196" s="43">
        <f>E197</f>
        <v>23500</v>
      </c>
      <c r="F196" s="43"/>
      <c r="G196" s="221"/>
      <c r="H196" s="36"/>
    </row>
    <row r="197" spans="1:8" s="37" customFormat="1" ht="62.25">
      <c r="A197" s="15" t="s">
        <v>81</v>
      </c>
      <c r="B197" s="45" t="s">
        <v>265</v>
      </c>
      <c r="C197" s="42" t="s">
        <v>576</v>
      </c>
      <c r="D197" s="60" t="s">
        <v>82</v>
      </c>
      <c r="E197" s="43">
        <f>10000+13500</f>
        <v>23500</v>
      </c>
      <c r="F197" s="43"/>
      <c r="G197" s="221"/>
      <c r="H197" s="36"/>
    </row>
    <row r="198" spans="1:8" s="37" customFormat="1" ht="106.5" customHeight="1">
      <c r="A198" s="223" t="s">
        <v>737</v>
      </c>
      <c r="B198" s="45" t="s">
        <v>265</v>
      </c>
      <c r="C198" s="42" t="s">
        <v>732</v>
      </c>
      <c r="D198" s="60"/>
      <c r="E198" s="43">
        <f>E199</f>
        <v>10100</v>
      </c>
      <c r="F198" s="43">
        <f>E198</f>
        <v>10100</v>
      </c>
      <c r="G198" s="221"/>
      <c r="H198" s="36"/>
    </row>
    <row r="199" spans="1:8" s="37" customFormat="1" ht="15">
      <c r="A199" s="254" t="s">
        <v>127</v>
      </c>
      <c r="B199" s="45" t="s">
        <v>265</v>
      </c>
      <c r="C199" s="42" t="s">
        <v>732</v>
      </c>
      <c r="D199" s="60" t="s">
        <v>128</v>
      </c>
      <c r="E199" s="43">
        <f>E200</f>
        <v>10100</v>
      </c>
      <c r="F199" s="43"/>
      <c r="G199" s="221"/>
      <c r="H199" s="36"/>
    </row>
    <row r="200" spans="1:8" s="37" customFormat="1" ht="42">
      <c r="A200" s="254" t="s">
        <v>731</v>
      </c>
      <c r="B200" s="45" t="s">
        <v>265</v>
      </c>
      <c r="C200" s="42" t="s">
        <v>732</v>
      </c>
      <c r="D200" s="60" t="s">
        <v>254</v>
      </c>
      <c r="E200" s="43">
        <v>10100</v>
      </c>
      <c r="F200" s="43"/>
      <c r="G200" s="221"/>
      <c r="H200" s="36"/>
    </row>
    <row r="201" spans="1:9" s="66" customFormat="1" ht="15.75">
      <c r="A201" s="56" t="s">
        <v>269</v>
      </c>
      <c r="B201" s="61" t="s">
        <v>270</v>
      </c>
      <c r="C201" s="62"/>
      <c r="D201" s="34"/>
      <c r="E201" s="63">
        <f>E202</f>
        <v>80617.98165</v>
      </c>
      <c r="F201" s="63">
        <f>F202</f>
        <v>6591.72</v>
      </c>
      <c r="G201" s="221"/>
      <c r="H201" s="64"/>
      <c r="I201" s="65"/>
    </row>
    <row r="202" spans="1:8" s="37" customFormat="1" ht="46.5">
      <c r="A202" s="52" t="s">
        <v>204</v>
      </c>
      <c r="B202" s="45" t="s">
        <v>270</v>
      </c>
      <c r="C202" s="45" t="s">
        <v>205</v>
      </c>
      <c r="D202" s="45"/>
      <c r="E202" s="67">
        <f>E203</f>
        <v>80617.98165</v>
      </c>
      <c r="F202" s="67">
        <f>F204+F217+F231+F241</f>
        <v>6591.72</v>
      </c>
      <c r="G202" s="221"/>
      <c r="H202" s="36"/>
    </row>
    <row r="203" spans="1:8" s="37" customFormat="1" ht="15">
      <c r="A203" s="52" t="s">
        <v>271</v>
      </c>
      <c r="B203" s="45" t="s">
        <v>270</v>
      </c>
      <c r="C203" s="45" t="s">
        <v>272</v>
      </c>
      <c r="D203" s="45"/>
      <c r="E203" s="67">
        <f>E204+E217+E231+E241</f>
        <v>80617.98165</v>
      </c>
      <c r="F203" s="67"/>
      <c r="G203" s="221"/>
      <c r="H203" s="36"/>
    </row>
    <row r="204" spans="1:8" s="37" customFormat="1" ht="30.75">
      <c r="A204" s="57" t="s">
        <v>273</v>
      </c>
      <c r="B204" s="45" t="s">
        <v>270</v>
      </c>
      <c r="C204" s="45" t="s">
        <v>274</v>
      </c>
      <c r="D204" s="45"/>
      <c r="E204" s="67">
        <f>E205+E208+E211+E214</f>
        <v>29281.811999999998</v>
      </c>
      <c r="F204" s="67"/>
      <c r="G204" s="221"/>
      <c r="H204" s="36"/>
    </row>
    <row r="205" spans="1:8" s="37" customFormat="1" ht="15">
      <c r="A205" s="52" t="s">
        <v>275</v>
      </c>
      <c r="B205" s="45" t="s">
        <v>270</v>
      </c>
      <c r="C205" s="45" t="s">
        <v>276</v>
      </c>
      <c r="D205" s="45"/>
      <c r="E205" s="67">
        <f>E206</f>
        <v>18462.1</v>
      </c>
      <c r="F205" s="67"/>
      <c r="G205" s="221"/>
      <c r="H205" s="36"/>
    </row>
    <row r="206" spans="1:8" s="37" customFormat="1" ht="30.75">
      <c r="A206" s="52" t="s">
        <v>277</v>
      </c>
      <c r="B206" s="45" t="s">
        <v>270</v>
      </c>
      <c r="C206" s="45" t="s">
        <v>276</v>
      </c>
      <c r="D206" s="45" t="s">
        <v>278</v>
      </c>
      <c r="E206" s="51">
        <f>E207</f>
        <v>18462.1</v>
      </c>
      <c r="F206" s="67"/>
      <c r="G206" s="221"/>
      <c r="H206" s="36"/>
    </row>
    <row r="207" spans="1:8" s="37" customFormat="1" ht="15">
      <c r="A207" s="52" t="s">
        <v>279</v>
      </c>
      <c r="B207" s="45" t="s">
        <v>270</v>
      </c>
      <c r="C207" s="45" t="s">
        <v>276</v>
      </c>
      <c r="D207" s="45" t="s">
        <v>280</v>
      </c>
      <c r="E207" s="51">
        <f>14235+458.4+600+1324.4+830+425.1+89.2+500</f>
        <v>18462.1</v>
      </c>
      <c r="F207" s="67"/>
      <c r="G207" s="221"/>
      <c r="H207" s="36"/>
    </row>
    <row r="208" spans="1:8" s="37" customFormat="1" ht="15">
      <c r="A208" s="52" t="s">
        <v>281</v>
      </c>
      <c r="B208" s="45" t="s">
        <v>270</v>
      </c>
      <c r="C208" s="45" t="s">
        <v>282</v>
      </c>
      <c r="D208" s="45"/>
      <c r="E208" s="67">
        <f>E209</f>
        <v>5658.2</v>
      </c>
      <c r="F208" s="67"/>
      <c r="G208" s="221"/>
      <c r="H208" s="36"/>
    </row>
    <row r="209" spans="1:8" s="37" customFormat="1" ht="30.75">
      <c r="A209" s="52" t="s">
        <v>277</v>
      </c>
      <c r="B209" s="45" t="s">
        <v>270</v>
      </c>
      <c r="C209" s="45" t="s">
        <v>282</v>
      </c>
      <c r="D209" s="45" t="s">
        <v>278</v>
      </c>
      <c r="E209" s="51">
        <f>E210</f>
        <v>5658.2</v>
      </c>
      <c r="F209" s="67"/>
      <c r="G209" s="221"/>
      <c r="H209" s="36"/>
    </row>
    <row r="210" spans="1:8" s="37" customFormat="1" ht="15">
      <c r="A210" s="52" t="s">
        <v>279</v>
      </c>
      <c r="B210" s="45" t="s">
        <v>270</v>
      </c>
      <c r="C210" s="45" t="s">
        <v>282</v>
      </c>
      <c r="D210" s="45" t="s">
        <v>280</v>
      </c>
      <c r="E210" s="51">
        <f>5423.2+235</f>
        <v>5658.2</v>
      </c>
      <c r="F210" s="67"/>
      <c r="G210" s="221"/>
      <c r="H210" s="36"/>
    </row>
    <row r="211" spans="1:8" s="37" customFormat="1" ht="15">
      <c r="A211" s="52" t="s">
        <v>283</v>
      </c>
      <c r="B211" s="45" t="s">
        <v>270</v>
      </c>
      <c r="C211" s="45" t="s">
        <v>284</v>
      </c>
      <c r="E211" s="51">
        <f>E212</f>
        <v>5061.512000000001</v>
      </c>
      <c r="F211" s="51"/>
      <c r="G211" s="221"/>
      <c r="H211" s="36"/>
    </row>
    <row r="212" spans="1:8" s="37" customFormat="1" ht="15">
      <c r="A212" s="15" t="s">
        <v>123</v>
      </c>
      <c r="B212" s="45" t="s">
        <v>270</v>
      </c>
      <c r="C212" s="45" t="s">
        <v>284</v>
      </c>
      <c r="D212" s="45" t="s">
        <v>124</v>
      </c>
      <c r="E212" s="51">
        <f>E213</f>
        <v>5061.512000000001</v>
      </c>
      <c r="F212" s="51"/>
      <c r="G212" s="221"/>
      <c r="H212" s="36"/>
    </row>
    <row r="213" spans="1:8" s="37" customFormat="1" ht="30.75">
      <c r="A213" s="15" t="s">
        <v>125</v>
      </c>
      <c r="B213" s="45" t="s">
        <v>270</v>
      </c>
      <c r="C213" s="45" t="s">
        <v>284</v>
      </c>
      <c r="D213" s="45" t="s">
        <v>126</v>
      </c>
      <c r="E213" s="51">
        <f>4236.6+409.732+415.18</f>
        <v>5061.512000000001</v>
      </c>
      <c r="F213" s="51"/>
      <c r="G213" s="221"/>
      <c r="H213" s="36"/>
    </row>
    <row r="214" spans="1:8" s="37" customFormat="1" ht="15">
      <c r="A214" s="52" t="s">
        <v>285</v>
      </c>
      <c r="B214" s="45" t="s">
        <v>270</v>
      </c>
      <c r="C214" s="45" t="s">
        <v>286</v>
      </c>
      <c r="E214" s="51">
        <f>E215</f>
        <v>100</v>
      </c>
      <c r="F214" s="51"/>
      <c r="G214" s="221"/>
      <c r="H214" s="36"/>
    </row>
    <row r="215" spans="1:8" s="37" customFormat="1" ht="15">
      <c r="A215" s="15" t="s">
        <v>123</v>
      </c>
      <c r="B215" s="45" t="s">
        <v>270</v>
      </c>
      <c r="C215" s="45" t="s">
        <v>286</v>
      </c>
      <c r="D215" s="45" t="s">
        <v>124</v>
      </c>
      <c r="E215" s="51">
        <f>E216</f>
        <v>100</v>
      </c>
      <c r="F215" s="51"/>
      <c r="G215" s="221"/>
      <c r="H215" s="36"/>
    </row>
    <row r="216" spans="1:8" s="37" customFormat="1" ht="30.75">
      <c r="A216" s="15" t="s">
        <v>125</v>
      </c>
      <c r="B216" s="45" t="s">
        <v>270</v>
      </c>
      <c r="C216" s="45" t="s">
        <v>286</v>
      </c>
      <c r="D216" s="45" t="s">
        <v>126</v>
      </c>
      <c r="E216" s="51">
        <v>100</v>
      </c>
      <c r="F216" s="51"/>
      <c r="G216" s="221"/>
      <c r="H216" s="36"/>
    </row>
    <row r="217" spans="1:8" s="37" customFormat="1" ht="15">
      <c r="A217" s="57" t="s">
        <v>287</v>
      </c>
      <c r="B217" s="45" t="s">
        <v>270</v>
      </c>
      <c r="C217" s="45" t="s">
        <v>288</v>
      </c>
      <c r="D217" s="45"/>
      <c r="E217" s="51">
        <f>E218+E221+E228+E225</f>
        <v>21246.07965</v>
      </c>
      <c r="F217" s="51">
        <f>F225</f>
        <v>6513.83</v>
      </c>
      <c r="G217" s="221"/>
      <c r="H217" s="36"/>
    </row>
    <row r="218" spans="1:8" s="37" customFormat="1" ht="15">
      <c r="A218" s="52" t="s">
        <v>289</v>
      </c>
      <c r="B218" s="45" t="s">
        <v>270</v>
      </c>
      <c r="C218" s="45" t="s">
        <v>290</v>
      </c>
      <c r="D218" s="45"/>
      <c r="E218" s="51">
        <f>E219</f>
        <v>4332.5</v>
      </c>
      <c r="F218" s="51"/>
      <c r="G218" s="221"/>
      <c r="H218" s="36"/>
    </row>
    <row r="219" spans="1:8" s="37" customFormat="1" ht="15">
      <c r="A219" s="15" t="s">
        <v>123</v>
      </c>
      <c r="B219" s="45" t="s">
        <v>270</v>
      </c>
      <c r="C219" s="45" t="s">
        <v>290</v>
      </c>
      <c r="D219" s="45" t="s">
        <v>124</v>
      </c>
      <c r="E219" s="51">
        <f>E220</f>
        <v>4332.5</v>
      </c>
      <c r="F219" s="51"/>
      <c r="G219" s="221"/>
      <c r="H219" s="36"/>
    </row>
    <row r="220" spans="1:9" s="37" customFormat="1" ht="30.75">
      <c r="A220" s="15" t="s">
        <v>125</v>
      </c>
      <c r="B220" s="45" t="s">
        <v>270</v>
      </c>
      <c r="C220" s="45" t="s">
        <v>290</v>
      </c>
      <c r="D220" s="45" t="s">
        <v>126</v>
      </c>
      <c r="E220" s="51">
        <f>4513-180.5</f>
        <v>4332.5</v>
      </c>
      <c r="F220" s="51"/>
      <c r="G220" s="221"/>
      <c r="H220" s="36"/>
      <c r="I220" s="68"/>
    </row>
    <row r="221" spans="1:9" s="37" customFormat="1" ht="30" customHeight="1">
      <c r="A221" s="15" t="s">
        <v>291</v>
      </c>
      <c r="B221" s="45" t="s">
        <v>270</v>
      </c>
      <c r="C221" s="45" t="s">
        <v>292</v>
      </c>
      <c r="D221" s="45"/>
      <c r="E221" s="51">
        <f>E222</f>
        <v>6196.2</v>
      </c>
      <c r="F221" s="51"/>
      <c r="G221" s="221"/>
      <c r="H221" s="36"/>
      <c r="I221" s="68"/>
    </row>
    <row r="222" spans="1:9" s="37" customFormat="1" ht="15">
      <c r="A222" s="15" t="s">
        <v>123</v>
      </c>
      <c r="B222" s="45" t="s">
        <v>270</v>
      </c>
      <c r="C222" s="45" t="s">
        <v>292</v>
      </c>
      <c r="D222" s="45" t="s">
        <v>124</v>
      </c>
      <c r="E222" s="51">
        <f>E223</f>
        <v>6196.2</v>
      </c>
      <c r="F222" s="51"/>
      <c r="G222" s="221"/>
      <c r="H222" s="36"/>
      <c r="I222" s="68"/>
    </row>
    <row r="223" spans="1:9" s="37" customFormat="1" ht="30.75">
      <c r="A223" s="15" t="s">
        <v>125</v>
      </c>
      <c r="B223" s="45" t="s">
        <v>270</v>
      </c>
      <c r="C223" s="45" t="s">
        <v>292</v>
      </c>
      <c r="D223" s="45" t="s">
        <v>126</v>
      </c>
      <c r="E223" s="51">
        <f>4000+2196.2</f>
        <v>6196.2</v>
      </c>
      <c r="F223" s="51"/>
      <c r="G223" s="221"/>
      <c r="H223" s="36"/>
      <c r="I223" s="68"/>
    </row>
    <row r="224" spans="1:9" s="37" customFormat="1" ht="15">
      <c r="A224" s="52" t="s">
        <v>212</v>
      </c>
      <c r="B224" s="45" t="s">
        <v>270</v>
      </c>
      <c r="C224" s="45" t="s">
        <v>293</v>
      </c>
      <c r="D224" s="45"/>
      <c r="E224" s="51">
        <f>E225</f>
        <v>7934.02</v>
      </c>
      <c r="F224" s="51"/>
      <c r="G224" s="221"/>
      <c r="H224" s="36"/>
      <c r="I224" s="68"/>
    </row>
    <row r="225" spans="1:9" s="37" customFormat="1" ht="48" customHeight="1">
      <c r="A225" s="18" t="s">
        <v>294</v>
      </c>
      <c r="B225" s="45" t="s">
        <v>270</v>
      </c>
      <c r="C225" s="45" t="s">
        <v>295</v>
      </c>
      <c r="D225" s="45"/>
      <c r="E225" s="51">
        <f>E226</f>
        <v>7934.02</v>
      </c>
      <c r="F225" s="51">
        <v>6513.83</v>
      </c>
      <c r="G225" s="221"/>
      <c r="H225" s="36"/>
      <c r="I225" s="68"/>
    </row>
    <row r="226" spans="1:9" s="37" customFormat="1" ht="15">
      <c r="A226" s="15" t="s">
        <v>123</v>
      </c>
      <c r="B226" s="45" t="s">
        <v>270</v>
      </c>
      <c r="C226" s="45" t="s">
        <v>295</v>
      </c>
      <c r="D226" s="45" t="s">
        <v>124</v>
      </c>
      <c r="E226" s="51">
        <f>E227</f>
        <v>7934.02</v>
      </c>
      <c r="F226" s="51"/>
      <c r="G226" s="221"/>
      <c r="H226" s="36"/>
      <c r="I226" s="68"/>
    </row>
    <row r="227" spans="1:9" s="37" customFormat="1" ht="30.75">
      <c r="A227" s="15" t="s">
        <v>125</v>
      </c>
      <c r="B227" s="45" t="s">
        <v>270</v>
      </c>
      <c r="C227" s="45" t="s">
        <v>295</v>
      </c>
      <c r="D227" s="45" t="s">
        <v>126</v>
      </c>
      <c r="E227" s="51">
        <f>6513.83+1420.19</f>
        <v>7934.02</v>
      </c>
      <c r="F227" s="51"/>
      <c r="G227" s="221"/>
      <c r="H227" s="36"/>
      <c r="I227" s="68"/>
    </row>
    <row r="228" spans="1:9" s="37" customFormat="1" ht="15">
      <c r="A228" s="52" t="s">
        <v>296</v>
      </c>
      <c r="B228" s="45" t="s">
        <v>270</v>
      </c>
      <c r="C228" s="45" t="s">
        <v>297</v>
      </c>
      <c r="D228" s="45"/>
      <c r="E228" s="51">
        <f>E229</f>
        <v>2783.3596500000003</v>
      </c>
      <c r="F228" s="51"/>
      <c r="G228" s="221"/>
      <c r="H228" s="36"/>
      <c r="I228" s="68"/>
    </row>
    <row r="229" spans="1:9" s="37" customFormat="1" ht="15">
      <c r="A229" s="15" t="s">
        <v>123</v>
      </c>
      <c r="B229" s="45" t="s">
        <v>270</v>
      </c>
      <c r="C229" s="45" t="s">
        <v>297</v>
      </c>
      <c r="D229" s="45" t="s">
        <v>124</v>
      </c>
      <c r="E229" s="51">
        <f>E230</f>
        <v>2783.3596500000003</v>
      </c>
      <c r="F229" s="51"/>
      <c r="G229" s="221"/>
      <c r="H229" s="36"/>
      <c r="I229" s="68"/>
    </row>
    <row r="230" spans="1:9" s="37" customFormat="1" ht="30.75">
      <c r="A230" s="15" t="s">
        <v>125</v>
      </c>
      <c r="B230" s="45" t="s">
        <v>270</v>
      </c>
      <c r="C230" s="45" t="s">
        <v>297</v>
      </c>
      <c r="D230" s="45" t="s">
        <v>126</v>
      </c>
      <c r="E230" s="51">
        <f>1300-517.6+110.2+1039.2+450.13025-70.4+442.5294-15.7+45</f>
        <v>2783.3596500000003</v>
      </c>
      <c r="F230" s="51"/>
      <c r="G230" s="221"/>
      <c r="H230" s="36"/>
      <c r="I230" s="68"/>
    </row>
    <row r="231" spans="1:8" s="37" customFormat="1" ht="30.75">
      <c r="A231" s="57" t="s">
        <v>298</v>
      </c>
      <c r="B231" s="45" t="s">
        <v>270</v>
      </c>
      <c r="C231" s="45" t="s">
        <v>299</v>
      </c>
      <c r="D231" s="45"/>
      <c r="E231" s="51">
        <f>E232</f>
        <v>8265.2</v>
      </c>
      <c r="F231" s="51"/>
      <c r="G231" s="221"/>
      <c r="H231" s="36"/>
    </row>
    <row r="232" spans="1:9" s="37" customFormat="1" ht="15">
      <c r="A232" s="15" t="s">
        <v>300</v>
      </c>
      <c r="B232" s="45" t="s">
        <v>270</v>
      </c>
      <c r="C232" s="45" t="s">
        <v>301</v>
      </c>
      <c r="D232" s="45"/>
      <c r="E232" s="51">
        <f>E233</f>
        <v>8265.2</v>
      </c>
      <c r="F232" s="51"/>
      <c r="G232" s="221"/>
      <c r="H232" s="36"/>
      <c r="I232" s="68"/>
    </row>
    <row r="233" spans="1:8" s="37" customFormat="1" ht="46.5">
      <c r="A233" s="41" t="s">
        <v>302</v>
      </c>
      <c r="B233" s="45" t="s">
        <v>270</v>
      </c>
      <c r="C233" s="45" t="s">
        <v>301</v>
      </c>
      <c r="D233" s="45"/>
      <c r="E233" s="51">
        <f>E234</f>
        <v>8265.2</v>
      </c>
      <c r="F233" s="51"/>
      <c r="G233" s="221"/>
      <c r="H233" s="36"/>
    </row>
    <row r="234" spans="1:8" s="37" customFormat="1" ht="62.25">
      <c r="A234" s="41" t="s">
        <v>109</v>
      </c>
      <c r="B234" s="45" t="s">
        <v>270</v>
      </c>
      <c r="C234" s="45" t="s">
        <v>301</v>
      </c>
      <c r="D234" s="45"/>
      <c r="E234" s="51">
        <f>E235+E237+E239</f>
        <v>8265.2</v>
      </c>
      <c r="F234" s="51"/>
      <c r="G234" s="221"/>
      <c r="H234" s="36"/>
    </row>
    <row r="235" spans="1:8" s="37" customFormat="1" ht="15">
      <c r="A235" s="41" t="s">
        <v>170</v>
      </c>
      <c r="B235" s="45" t="s">
        <v>270</v>
      </c>
      <c r="C235" s="45" t="s">
        <v>301</v>
      </c>
      <c r="D235" s="45" t="s">
        <v>110</v>
      </c>
      <c r="E235" s="51">
        <f>E236</f>
        <v>6245.4</v>
      </c>
      <c r="F235" s="51"/>
      <c r="G235" s="221"/>
      <c r="H235" s="36"/>
    </row>
    <row r="236" spans="1:8" s="37" customFormat="1" ht="15">
      <c r="A236" s="52" t="s">
        <v>123</v>
      </c>
      <c r="B236" s="45" t="s">
        <v>270</v>
      </c>
      <c r="C236" s="45" t="s">
        <v>301</v>
      </c>
      <c r="D236" s="45" t="s">
        <v>171</v>
      </c>
      <c r="E236" s="51">
        <f>5845.4+400</f>
        <v>6245.4</v>
      </c>
      <c r="F236" s="51"/>
      <c r="G236" s="221"/>
      <c r="H236" s="36"/>
    </row>
    <row r="237" spans="1:8" s="37" customFormat="1" ht="30.75">
      <c r="A237" s="52" t="s">
        <v>125</v>
      </c>
      <c r="B237" s="45" t="s">
        <v>270</v>
      </c>
      <c r="C237" s="45" t="s">
        <v>301</v>
      </c>
      <c r="D237" s="45" t="s">
        <v>124</v>
      </c>
      <c r="E237" s="51">
        <f>E238</f>
        <v>2009.8000000000002</v>
      </c>
      <c r="F237" s="51"/>
      <c r="G237" s="221"/>
      <c r="H237" s="36"/>
    </row>
    <row r="238" spans="1:8" s="37" customFormat="1" ht="15">
      <c r="A238" s="41" t="s">
        <v>127</v>
      </c>
      <c r="B238" s="45" t="s">
        <v>270</v>
      </c>
      <c r="C238" s="45" t="s">
        <v>301</v>
      </c>
      <c r="D238" s="45" t="s">
        <v>126</v>
      </c>
      <c r="E238" s="51">
        <f>2590-10+700+1000-1000-400+1836.8-2907+200</f>
        <v>2009.8000000000002</v>
      </c>
      <c r="F238" s="51"/>
      <c r="G238" s="221"/>
      <c r="H238" s="36"/>
    </row>
    <row r="239" spans="1:8" s="37" customFormat="1" ht="15">
      <c r="A239" s="41" t="s">
        <v>129</v>
      </c>
      <c r="B239" s="45" t="s">
        <v>270</v>
      </c>
      <c r="C239" s="45" t="s">
        <v>301</v>
      </c>
      <c r="D239" s="45" t="s">
        <v>128</v>
      </c>
      <c r="E239" s="51">
        <f>E240</f>
        <v>10</v>
      </c>
      <c r="F239" s="51"/>
      <c r="G239" s="221"/>
      <c r="H239" s="36"/>
    </row>
    <row r="240" spans="1:8" s="37" customFormat="1" ht="15">
      <c r="A240" s="41" t="s">
        <v>129</v>
      </c>
      <c r="B240" s="45" t="s">
        <v>270</v>
      </c>
      <c r="C240" s="45" t="s">
        <v>301</v>
      </c>
      <c r="D240" s="45" t="s">
        <v>130</v>
      </c>
      <c r="E240" s="51">
        <v>10</v>
      </c>
      <c r="F240" s="51"/>
      <c r="G240" s="221"/>
      <c r="H240" s="36"/>
    </row>
    <row r="241" spans="1:8" s="37" customFormat="1" ht="15">
      <c r="A241" s="57" t="s">
        <v>303</v>
      </c>
      <c r="B241" s="45" t="s">
        <v>270</v>
      </c>
      <c r="C241" s="45" t="s">
        <v>304</v>
      </c>
      <c r="D241" s="45"/>
      <c r="E241" s="51">
        <f>E242+E245</f>
        <v>21824.89</v>
      </c>
      <c r="F241" s="51">
        <f>F245</f>
        <v>77.89</v>
      </c>
      <c r="G241" s="221"/>
      <c r="H241" s="36"/>
    </row>
    <row r="242" spans="1:8" s="37" customFormat="1" ht="15">
      <c r="A242" s="52" t="s">
        <v>305</v>
      </c>
      <c r="B242" s="45" t="s">
        <v>270</v>
      </c>
      <c r="C242" s="45" t="s">
        <v>306</v>
      </c>
      <c r="D242" s="45"/>
      <c r="E242" s="51">
        <f>E243</f>
        <v>21747</v>
      </c>
      <c r="F242" s="51"/>
      <c r="G242" s="221"/>
      <c r="H242" s="36"/>
    </row>
    <row r="243" spans="1:8" s="37" customFormat="1" ht="15">
      <c r="A243" s="15" t="s">
        <v>123</v>
      </c>
      <c r="B243" s="45" t="s">
        <v>270</v>
      </c>
      <c r="C243" s="45" t="s">
        <v>306</v>
      </c>
      <c r="D243" s="45" t="s">
        <v>124</v>
      </c>
      <c r="E243" s="51">
        <f>E244</f>
        <v>21747</v>
      </c>
      <c r="F243" s="51"/>
      <c r="G243" s="221"/>
      <c r="H243" s="36"/>
    </row>
    <row r="244" spans="1:8" s="37" customFormat="1" ht="30.75">
      <c r="A244" s="15" t="s">
        <v>125</v>
      </c>
      <c r="B244" s="45" t="s">
        <v>270</v>
      </c>
      <c r="C244" s="45" t="s">
        <v>306</v>
      </c>
      <c r="D244" s="45" t="s">
        <v>126</v>
      </c>
      <c r="E244" s="51">
        <f>2400-2000+750+200+90+550+10000+1300+11000-7000-1000+1200-200+2877+80+1000+500</f>
        <v>21747</v>
      </c>
      <c r="F244" s="51"/>
      <c r="G244" s="221"/>
      <c r="H244" s="36"/>
    </row>
    <row r="245" spans="1:8" s="37" customFormat="1" ht="15">
      <c r="A245" s="52" t="s">
        <v>212</v>
      </c>
      <c r="B245" s="45" t="s">
        <v>270</v>
      </c>
      <c r="C245" s="45" t="s">
        <v>293</v>
      </c>
      <c r="D245" s="45"/>
      <c r="E245" s="51">
        <f>E246+E249</f>
        <v>77.89</v>
      </c>
      <c r="F245" s="51">
        <f>E245</f>
        <v>77.89</v>
      </c>
      <c r="G245" s="221"/>
      <c r="H245" s="36"/>
    </row>
    <row r="246" spans="1:8" s="37" customFormat="1" ht="30.75">
      <c r="A246" s="58" t="s">
        <v>307</v>
      </c>
      <c r="B246" s="45" t="s">
        <v>270</v>
      </c>
      <c r="C246" s="45" t="s">
        <v>308</v>
      </c>
      <c r="D246" s="45"/>
      <c r="E246" s="51">
        <f>E247</f>
        <v>77.89</v>
      </c>
      <c r="F246" s="51"/>
      <c r="G246" s="221"/>
      <c r="H246" s="36"/>
    </row>
    <row r="247" spans="1:8" s="37" customFormat="1" ht="15">
      <c r="A247" s="15" t="s">
        <v>123</v>
      </c>
      <c r="B247" s="45" t="s">
        <v>270</v>
      </c>
      <c r="C247" s="45" t="s">
        <v>308</v>
      </c>
      <c r="D247" s="45" t="s">
        <v>124</v>
      </c>
      <c r="E247" s="51">
        <f>E248</f>
        <v>77.89</v>
      </c>
      <c r="F247" s="51"/>
      <c r="G247" s="221"/>
      <c r="H247" s="36"/>
    </row>
    <row r="248" spans="1:8" s="37" customFormat="1" ht="30.75">
      <c r="A248" s="15" t="s">
        <v>125</v>
      </c>
      <c r="B248" s="45" t="s">
        <v>270</v>
      </c>
      <c r="C248" s="45" t="s">
        <v>308</v>
      </c>
      <c r="D248" s="45" t="s">
        <v>126</v>
      </c>
      <c r="E248" s="51">
        <v>77.89</v>
      </c>
      <c r="F248" s="51"/>
      <c r="G248" s="221"/>
      <c r="H248" s="36"/>
    </row>
    <row r="249" spans="1:8" s="37" customFormat="1" ht="37.5" customHeight="1">
      <c r="A249" s="58" t="s">
        <v>309</v>
      </c>
      <c r="B249" s="45" t="s">
        <v>270</v>
      </c>
      <c r="C249" s="45" t="s">
        <v>310</v>
      </c>
      <c r="D249" s="45"/>
      <c r="E249" s="51">
        <f>E250</f>
        <v>0</v>
      </c>
      <c r="F249" s="51">
        <v>0</v>
      </c>
      <c r="G249" s="221"/>
      <c r="H249" s="36"/>
    </row>
    <row r="250" spans="1:8" s="37" customFormat="1" ht="15">
      <c r="A250" s="15" t="s">
        <v>123</v>
      </c>
      <c r="B250" s="45" t="s">
        <v>270</v>
      </c>
      <c r="C250" s="45" t="s">
        <v>310</v>
      </c>
      <c r="D250" s="45" t="s">
        <v>124</v>
      </c>
      <c r="E250" s="51">
        <f>E251</f>
        <v>0</v>
      </c>
      <c r="F250" s="51"/>
      <c r="G250" s="221"/>
      <c r="H250" s="36"/>
    </row>
    <row r="251" spans="1:8" s="37" customFormat="1" ht="30.75">
      <c r="A251" s="15" t="s">
        <v>125</v>
      </c>
      <c r="B251" s="45" t="s">
        <v>270</v>
      </c>
      <c r="C251" s="45" t="s">
        <v>310</v>
      </c>
      <c r="D251" s="45" t="s">
        <v>126</v>
      </c>
      <c r="E251" s="51">
        <f>5673.79+1237-6910.79</f>
        <v>0</v>
      </c>
      <c r="F251" s="51"/>
      <c r="G251" s="221"/>
      <c r="H251" s="36"/>
    </row>
    <row r="252" spans="1:8" s="37" customFormat="1" ht="15.75">
      <c r="A252" s="46" t="s">
        <v>311</v>
      </c>
      <c r="B252" s="33" t="s">
        <v>312</v>
      </c>
      <c r="C252" s="34"/>
      <c r="D252" s="34"/>
      <c r="E252" s="53">
        <f>E253</f>
        <v>60</v>
      </c>
      <c r="F252" s="53">
        <v>0</v>
      </c>
      <c r="G252" s="221"/>
      <c r="H252" s="36"/>
    </row>
    <row r="253" spans="1:8" s="37" customFormat="1" ht="30.75">
      <c r="A253" s="15" t="s">
        <v>313</v>
      </c>
      <c r="B253" s="45" t="s">
        <v>314</v>
      </c>
      <c r="C253" s="45" t="s">
        <v>315</v>
      </c>
      <c r="D253" s="45"/>
      <c r="E253" s="69">
        <f>E254</f>
        <v>60</v>
      </c>
      <c r="F253" s="69"/>
      <c r="G253" s="221"/>
      <c r="H253" s="36"/>
    </row>
    <row r="254" spans="1:8" s="37" customFormat="1" ht="15">
      <c r="A254" s="15" t="s">
        <v>123</v>
      </c>
      <c r="B254" s="45" t="s">
        <v>314</v>
      </c>
      <c r="C254" s="45" t="s">
        <v>316</v>
      </c>
      <c r="D254" s="45" t="s">
        <v>124</v>
      </c>
      <c r="E254" s="43">
        <f>E255</f>
        <v>60</v>
      </c>
      <c r="F254" s="43"/>
      <c r="G254" s="221"/>
      <c r="H254" s="36"/>
    </row>
    <row r="255" spans="1:8" s="11" customFormat="1" ht="30.75">
      <c r="A255" s="15" t="s">
        <v>125</v>
      </c>
      <c r="B255" s="45" t="s">
        <v>314</v>
      </c>
      <c r="C255" s="45" t="s">
        <v>316</v>
      </c>
      <c r="D255" s="45" t="s">
        <v>126</v>
      </c>
      <c r="E255" s="43">
        <f>1022-962</f>
        <v>60</v>
      </c>
      <c r="F255" s="43"/>
      <c r="G255" s="221"/>
      <c r="H255" s="31"/>
    </row>
    <row r="256" spans="1:8" s="11" customFormat="1" ht="15.75">
      <c r="A256" s="46" t="s">
        <v>317</v>
      </c>
      <c r="B256" s="33" t="s">
        <v>318</v>
      </c>
      <c r="C256" s="34"/>
      <c r="D256" s="34"/>
      <c r="E256" s="53">
        <f>E257</f>
        <v>40826.1</v>
      </c>
      <c r="F256" s="53">
        <f>SUM(F258:F262)</f>
        <v>0</v>
      </c>
      <c r="G256" s="221"/>
      <c r="H256" s="31"/>
    </row>
    <row r="257" spans="1:8" s="11" customFormat="1" ht="15">
      <c r="A257" s="48" t="s">
        <v>319</v>
      </c>
      <c r="B257" s="45" t="s">
        <v>320</v>
      </c>
      <c r="C257" s="45"/>
      <c r="D257" s="45"/>
      <c r="E257" s="43">
        <f>E258</f>
        <v>40826.1</v>
      </c>
      <c r="F257" s="43"/>
      <c r="G257" s="221"/>
      <c r="H257" s="31"/>
    </row>
    <row r="258" spans="1:8" s="11" customFormat="1" ht="30.75">
      <c r="A258" s="15" t="s">
        <v>321</v>
      </c>
      <c r="B258" s="45" t="s">
        <v>320</v>
      </c>
      <c r="C258" s="45" t="s">
        <v>322</v>
      </c>
      <c r="D258" s="42"/>
      <c r="E258" s="43">
        <f>E259+E266+E263</f>
        <v>40826.1</v>
      </c>
      <c r="F258" s="43"/>
      <c r="G258" s="221"/>
      <c r="H258" s="31"/>
    </row>
    <row r="259" spans="1:8" s="11" customFormat="1" ht="30.75">
      <c r="A259" s="52" t="s">
        <v>323</v>
      </c>
      <c r="B259" s="45" t="s">
        <v>320</v>
      </c>
      <c r="C259" s="42" t="s">
        <v>324</v>
      </c>
      <c r="D259" s="42"/>
      <c r="E259" s="43">
        <f>E260</f>
        <v>33246.1</v>
      </c>
      <c r="F259" s="43"/>
      <c r="G259" s="221"/>
      <c r="H259" s="31"/>
    </row>
    <row r="260" spans="1:8" s="11" customFormat="1" ht="15">
      <c r="A260" s="52" t="s">
        <v>325</v>
      </c>
      <c r="B260" s="45" t="s">
        <v>320</v>
      </c>
      <c r="C260" s="42" t="s">
        <v>324</v>
      </c>
      <c r="D260" s="42"/>
      <c r="E260" s="43">
        <f>E261</f>
        <v>33246.1</v>
      </c>
      <c r="F260" s="43"/>
      <c r="G260" s="221"/>
      <c r="H260" s="31"/>
    </row>
    <row r="261" spans="1:8" s="11" customFormat="1" ht="30.75">
      <c r="A261" s="52" t="s">
        <v>277</v>
      </c>
      <c r="B261" s="45" t="s">
        <v>320</v>
      </c>
      <c r="C261" s="42" t="s">
        <v>324</v>
      </c>
      <c r="D261" s="42" t="s">
        <v>278</v>
      </c>
      <c r="E261" s="43">
        <f>E262</f>
        <v>33246.1</v>
      </c>
      <c r="F261" s="43"/>
      <c r="G261" s="221"/>
      <c r="H261" s="31"/>
    </row>
    <row r="262" spans="1:8" s="11" customFormat="1" ht="15">
      <c r="A262" s="52" t="s">
        <v>279</v>
      </c>
      <c r="B262" s="45" t="s">
        <v>320</v>
      </c>
      <c r="C262" s="42" t="s">
        <v>324</v>
      </c>
      <c r="D262" s="42" t="s">
        <v>280</v>
      </c>
      <c r="E262" s="43">
        <f>26729.1+400+50+420+1000+4647</f>
        <v>33246.1</v>
      </c>
      <c r="F262" s="43"/>
      <c r="G262" s="221"/>
      <c r="H262" s="31"/>
    </row>
    <row r="263" spans="1:8" s="11" customFormat="1" ht="30.75">
      <c r="A263" s="52" t="s">
        <v>326</v>
      </c>
      <c r="B263" s="45" t="s">
        <v>320</v>
      </c>
      <c r="C263" s="42" t="s">
        <v>327</v>
      </c>
      <c r="D263" s="42"/>
      <c r="E263" s="43">
        <f>E264</f>
        <v>7500</v>
      </c>
      <c r="F263" s="43"/>
      <c r="G263" s="221"/>
      <c r="H263" s="31"/>
    </row>
    <row r="264" spans="1:8" s="11" customFormat="1" ht="15">
      <c r="A264" s="52" t="s">
        <v>123</v>
      </c>
      <c r="B264" s="45" t="s">
        <v>320</v>
      </c>
      <c r="C264" s="42" t="s">
        <v>327</v>
      </c>
      <c r="D264" s="42" t="s">
        <v>124</v>
      </c>
      <c r="E264" s="43">
        <f>E265</f>
        <v>7500</v>
      </c>
      <c r="F264" s="43"/>
      <c r="G264" s="221"/>
      <c r="H264" s="31"/>
    </row>
    <row r="265" spans="1:8" s="11" customFormat="1" ht="30.75">
      <c r="A265" s="15" t="s">
        <v>125</v>
      </c>
      <c r="B265" s="45" t="s">
        <v>320</v>
      </c>
      <c r="C265" s="42" t="s">
        <v>327</v>
      </c>
      <c r="D265" s="42" t="s">
        <v>126</v>
      </c>
      <c r="E265" s="43">
        <f>15500-8000</f>
        <v>7500</v>
      </c>
      <c r="F265" s="43"/>
      <c r="G265" s="221"/>
      <c r="H265" s="31"/>
    </row>
    <row r="266" spans="1:8" s="11" customFormat="1" ht="30.75">
      <c r="A266" s="52" t="s">
        <v>328</v>
      </c>
      <c r="B266" s="45" t="s">
        <v>320</v>
      </c>
      <c r="C266" s="42" t="s">
        <v>329</v>
      </c>
      <c r="D266" s="45"/>
      <c r="E266" s="43">
        <f>E267</f>
        <v>80</v>
      </c>
      <c r="F266" s="43"/>
      <c r="G266" s="221"/>
      <c r="H266" s="31"/>
    </row>
    <row r="267" spans="1:8" s="11" customFormat="1" ht="15">
      <c r="A267" s="52" t="s">
        <v>330</v>
      </c>
      <c r="B267" s="45" t="s">
        <v>320</v>
      </c>
      <c r="C267" s="42" t="s">
        <v>329</v>
      </c>
      <c r="D267" s="42"/>
      <c r="E267" s="43">
        <f>E268</f>
        <v>80</v>
      </c>
      <c r="F267" s="43"/>
      <c r="G267" s="221"/>
      <c r="H267" s="31"/>
    </row>
    <row r="268" spans="1:8" s="11" customFormat="1" ht="15">
      <c r="A268" s="52" t="s">
        <v>123</v>
      </c>
      <c r="B268" s="45" t="s">
        <v>320</v>
      </c>
      <c r="C268" s="42" t="s">
        <v>329</v>
      </c>
      <c r="D268" s="42" t="s">
        <v>124</v>
      </c>
      <c r="E268" s="43">
        <f>E269</f>
        <v>80</v>
      </c>
      <c r="F268" s="43"/>
      <c r="G268" s="221"/>
      <c r="H268" s="31"/>
    </row>
    <row r="269" spans="1:8" s="11" customFormat="1" ht="30.75">
      <c r="A269" s="15" t="s">
        <v>125</v>
      </c>
      <c r="B269" s="45" t="s">
        <v>320</v>
      </c>
      <c r="C269" s="42" t="s">
        <v>329</v>
      </c>
      <c r="D269" s="42" t="s">
        <v>126</v>
      </c>
      <c r="E269" s="43">
        <f>450-420+50</f>
        <v>80</v>
      </c>
      <c r="F269" s="43"/>
      <c r="G269" s="221"/>
      <c r="H269" s="31"/>
    </row>
    <row r="270" spans="1:8" s="11" customFormat="1" ht="15.75">
      <c r="A270" s="47" t="s">
        <v>331</v>
      </c>
      <c r="B270" s="33" t="s">
        <v>332</v>
      </c>
      <c r="C270" s="34"/>
      <c r="D270" s="34"/>
      <c r="E270" s="53">
        <f>E271</f>
        <v>780</v>
      </c>
      <c r="F270" s="53"/>
      <c r="G270" s="221"/>
      <c r="H270" s="31"/>
    </row>
    <row r="271" spans="1:8" s="11" customFormat="1" ht="15">
      <c r="A271" s="70" t="s">
        <v>166</v>
      </c>
      <c r="B271" s="71" t="s">
        <v>333</v>
      </c>
      <c r="C271" s="45"/>
      <c r="D271" s="42"/>
      <c r="E271" s="17">
        <f>E272</f>
        <v>780</v>
      </c>
      <c r="F271" s="17"/>
      <c r="G271" s="221"/>
      <c r="H271" s="31"/>
    </row>
    <row r="272" spans="1:8" s="11" customFormat="1" ht="15">
      <c r="A272" s="48" t="s">
        <v>334</v>
      </c>
      <c r="B272" s="71" t="s">
        <v>333</v>
      </c>
      <c r="C272" s="45" t="s">
        <v>335</v>
      </c>
      <c r="D272" s="42"/>
      <c r="E272" s="17">
        <f>E273</f>
        <v>780</v>
      </c>
      <c r="F272" s="17"/>
      <c r="G272" s="221"/>
      <c r="H272" s="31"/>
    </row>
    <row r="273" spans="1:7" ht="15">
      <c r="A273" s="44" t="s">
        <v>336</v>
      </c>
      <c r="B273" s="71" t="s">
        <v>333</v>
      </c>
      <c r="C273" s="45" t="s">
        <v>335</v>
      </c>
      <c r="D273" s="42"/>
      <c r="E273" s="17">
        <f>E274</f>
        <v>780</v>
      </c>
      <c r="F273" s="17"/>
      <c r="G273" s="221"/>
    </row>
    <row r="274" spans="1:7" ht="30.75">
      <c r="A274" s="44" t="s">
        <v>337</v>
      </c>
      <c r="B274" s="71" t="s">
        <v>333</v>
      </c>
      <c r="C274" s="45" t="s">
        <v>338</v>
      </c>
      <c r="D274" s="42"/>
      <c r="E274" s="17">
        <f>E276</f>
        <v>780</v>
      </c>
      <c r="F274" s="17"/>
      <c r="G274" s="221"/>
    </row>
    <row r="275" spans="1:7" ht="15">
      <c r="A275" s="44" t="s">
        <v>339</v>
      </c>
      <c r="B275" s="71" t="s">
        <v>333</v>
      </c>
      <c r="C275" s="45" t="s">
        <v>338</v>
      </c>
      <c r="D275" s="45" t="s">
        <v>340</v>
      </c>
      <c r="E275" s="17">
        <f>E276</f>
        <v>780</v>
      </c>
      <c r="F275" s="17"/>
      <c r="G275" s="221"/>
    </row>
    <row r="276" spans="1:7" ht="15">
      <c r="A276" s="44" t="s">
        <v>341</v>
      </c>
      <c r="B276" s="71" t="s">
        <v>333</v>
      </c>
      <c r="C276" s="45" t="s">
        <v>338</v>
      </c>
      <c r="D276" s="45" t="s">
        <v>342</v>
      </c>
      <c r="E276" s="17">
        <f>710+70</f>
        <v>780</v>
      </c>
      <c r="F276" s="17"/>
      <c r="G276" s="221"/>
    </row>
    <row r="277" spans="1:7" ht="15.75">
      <c r="A277" s="46" t="s">
        <v>343</v>
      </c>
      <c r="B277" s="33" t="s">
        <v>344</v>
      </c>
      <c r="C277" s="34"/>
      <c r="D277" s="34"/>
      <c r="E277" s="63">
        <f>E278</f>
        <v>99472.53</v>
      </c>
      <c r="F277" s="63">
        <f>F278</f>
        <v>53333.4</v>
      </c>
      <c r="G277" s="221"/>
    </row>
    <row r="278" spans="1:7" ht="15">
      <c r="A278" s="72" t="s">
        <v>345</v>
      </c>
      <c r="B278" s="33" t="s">
        <v>344</v>
      </c>
      <c r="C278" s="33"/>
      <c r="D278" s="38"/>
      <c r="E278" s="73">
        <f>E279</f>
        <v>99472.53</v>
      </c>
      <c r="F278" s="73">
        <f>F279</f>
        <v>53333.4</v>
      </c>
      <c r="G278" s="221"/>
    </row>
    <row r="279" spans="1:7" ht="30.75">
      <c r="A279" s="15" t="s">
        <v>346</v>
      </c>
      <c r="B279" s="45" t="s">
        <v>344</v>
      </c>
      <c r="C279" s="45" t="s">
        <v>347</v>
      </c>
      <c r="D279" s="45"/>
      <c r="E279" s="67">
        <f>E280+E284</f>
        <v>99472.53</v>
      </c>
      <c r="F279" s="67">
        <f>F284</f>
        <v>53333.4</v>
      </c>
      <c r="G279" s="221"/>
    </row>
    <row r="280" spans="1:8" s="75" customFormat="1" ht="30.75">
      <c r="A280" s="52" t="s">
        <v>348</v>
      </c>
      <c r="B280" s="45" t="s">
        <v>349</v>
      </c>
      <c r="C280" s="45" t="s">
        <v>350</v>
      </c>
      <c r="D280" s="45"/>
      <c r="E280" s="51">
        <f>E281</f>
        <v>16845.739999999998</v>
      </c>
      <c r="F280" s="51"/>
      <c r="G280" s="221"/>
      <c r="H280" s="74"/>
    </row>
    <row r="281" spans="1:7" ht="30.75">
      <c r="A281" s="52" t="s">
        <v>351</v>
      </c>
      <c r="B281" s="45" t="s">
        <v>349</v>
      </c>
      <c r="C281" s="45" t="s">
        <v>350</v>
      </c>
      <c r="D281" s="45"/>
      <c r="E281" s="51">
        <f>E282</f>
        <v>16845.739999999998</v>
      </c>
      <c r="F281" s="51"/>
      <c r="G281" s="221"/>
    </row>
    <row r="282" spans="1:7" ht="30.75">
      <c r="A282" s="52" t="s">
        <v>277</v>
      </c>
      <c r="B282" s="45" t="s">
        <v>349</v>
      </c>
      <c r="C282" s="45" t="s">
        <v>350</v>
      </c>
      <c r="D282" s="42" t="s">
        <v>278</v>
      </c>
      <c r="E282" s="51">
        <f>E283</f>
        <v>16845.739999999998</v>
      </c>
      <c r="F282" s="51"/>
      <c r="G282" s="221"/>
    </row>
    <row r="283" spans="1:7" ht="15">
      <c r="A283" s="52" t="s">
        <v>279</v>
      </c>
      <c r="B283" s="45" t="s">
        <v>349</v>
      </c>
      <c r="C283" s="45" t="s">
        <v>350</v>
      </c>
      <c r="D283" s="42" t="s">
        <v>280</v>
      </c>
      <c r="E283" s="51">
        <f>15035.6+1037.3+172.84+300+300</f>
        <v>16845.739999999998</v>
      </c>
      <c r="F283" s="51"/>
      <c r="G283" s="221"/>
    </row>
    <row r="284" spans="1:7" ht="15">
      <c r="A284" s="52" t="s">
        <v>352</v>
      </c>
      <c r="B284" s="45" t="s">
        <v>353</v>
      </c>
      <c r="C284" s="45"/>
      <c r="D284" s="42"/>
      <c r="E284" s="51">
        <f>E285+E290</f>
        <v>82626.79000000001</v>
      </c>
      <c r="F284" s="51">
        <f>53333.3+0.1</f>
        <v>53333.4</v>
      </c>
      <c r="G284" s="221"/>
    </row>
    <row r="285" spans="1:7" ht="15">
      <c r="A285" s="52" t="s">
        <v>354</v>
      </c>
      <c r="B285" s="45" t="s">
        <v>353</v>
      </c>
      <c r="C285" s="45" t="s">
        <v>347</v>
      </c>
      <c r="D285" s="42"/>
      <c r="E285" s="51">
        <f>E287</f>
        <v>66330.1</v>
      </c>
      <c r="F285" s="51"/>
      <c r="G285" s="221"/>
    </row>
    <row r="286" spans="1:7" ht="15">
      <c r="A286" s="52" t="s">
        <v>355</v>
      </c>
      <c r="B286" s="45" t="s">
        <v>353</v>
      </c>
      <c r="C286" s="45" t="s">
        <v>356</v>
      </c>
      <c r="D286" s="42"/>
      <c r="E286" s="51">
        <f>E287</f>
        <v>66330.1</v>
      </c>
      <c r="F286" s="51"/>
      <c r="G286" s="221"/>
    </row>
    <row r="287" spans="1:7" ht="31.5" customHeight="1">
      <c r="A287" s="52" t="s">
        <v>357</v>
      </c>
      <c r="B287" s="45" t="s">
        <v>353</v>
      </c>
      <c r="C287" s="45" t="s">
        <v>358</v>
      </c>
      <c r="D287" s="42"/>
      <c r="E287" s="51">
        <f>E288</f>
        <v>66330.1</v>
      </c>
      <c r="F287" s="51"/>
      <c r="G287" s="221"/>
    </row>
    <row r="288" spans="1:7" ht="15">
      <c r="A288" s="15" t="s">
        <v>123</v>
      </c>
      <c r="B288" s="45" t="s">
        <v>353</v>
      </c>
      <c r="C288" s="45" t="s">
        <v>358</v>
      </c>
      <c r="D288" s="42" t="s">
        <v>124</v>
      </c>
      <c r="E288" s="51">
        <f>E289</f>
        <v>66330.1</v>
      </c>
      <c r="F288" s="51"/>
      <c r="G288" s="221"/>
    </row>
    <row r="289" spans="1:7" ht="30.75">
      <c r="A289" s="15" t="s">
        <v>125</v>
      </c>
      <c r="B289" s="45" t="s">
        <v>353</v>
      </c>
      <c r="C289" s="45" t="s">
        <v>358</v>
      </c>
      <c r="D289" s="42" t="s">
        <v>126</v>
      </c>
      <c r="E289" s="51">
        <f>53333.3+0.1+12996.7</f>
        <v>66330.1</v>
      </c>
      <c r="F289" s="51"/>
      <c r="G289" s="221"/>
    </row>
    <row r="290" spans="1:7" ht="15">
      <c r="A290" s="15" t="s">
        <v>359</v>
      </c>
      <c r="B290" s="45" t="s">
        <v>353</v>
      </c>
      <c r="C290" s="45" t="s">
        <v>360</v>
      </c>
      <c r="D290" s="42"/>
      <c r="E290" s="51">
        <f>E291</f>
        <v>16296.69</v>
      </c>
      <c r="F290" s="51"/>
      <c r="G290" s="221"/>
    </row>
    <row r="291" spans="1:7" ht="15">
      <c r="A291" s="15" t="s">
        <v>123</v>
      </c>
      <c r="B291" s="45" t="s">
        <v>353</v>
      </c>
      <c r="C291" s="45" t="s">
        <v>360</v>
      </c>
      <c r="D291" s="42" t="s">
        <v>124</v>
      </c>
      <c r="E291" s="51">
        <f>E292</f>
        <v>16296.69</v>
      </c>
      <c r="F291" s="51"/>
      <c r="G291" s="221"/>
    </row>
    <row r="292" spans="1:7" ht="30.75">
      <c r="A292" s="15" t="s">
        <v>125</v>
      </c>
      <c r="B292" s="45" t="s">
        <v>353</v>
      </c>
      <c r="C292" s="45" t="s">
        <v>360</v>
      </c>
      <c r="D292" s="42" t="s">
        <v>126</v>
      </c>
      <c r="E292" s="51">
        <f>14964.69+1332</f>
        <v>16296.69</v>
      </c>
      <c r="F292" s="51"/>
      <c r="G292" s="221"/>
    </row>
    <row r="293" spans="1:7" ht="15.75">
      <c r="A293" s="72" t="s">
        <v>361</v>
      </c>
      <c r="B293" s="33" t="s">
        <v>362</v>
      </c>
      <c r="C293" s="34"/>
      <c r="D293" s="34"/>
      <c r="E293" s="53">
        <f aca="true" t="shared" si="1" ref="E293:E298">E294</f>
        <v>1478</v>
      </c>
      <c r="F293" s="53">
        <v>0</v>
      </c>
      <c r="G293" s="221"/>
    </row>
    <row r="294" spans="1:7" ht="15.75">
      <c r="A294" s="70" t="s">
        <v>166</v>
      </c>
      <c r="B294" s="42" t="s">
        <v>363</v>
      </c>
      <c r="C294" s="45" t="s">
        <v>335</v>
      </c>
      <c r="D294" s="34"/>
      <c r="E294" s="13">
        <f t="shared" si="1"/>
        <v>1478</v>
      </c>
      <c r="F294" s="13"/>
      <c r="G294" s="221"/>
    </row>
    <row r="295" spans="1:7" ht="15">
      <c r="A295" s="48" t="s">
        <v>364</v>
      </c>
      <c r="B295" s="42" t="s">
        <v>363</v>
      </c>
      <c r="C295" s="45" t="s">
        <v>335</v>
      </c>
      <c r="D295" s="42"/>
      <c r="E295" s="43">
        <f t="shared" si="1"/>
        <v>1478</v>
      </c>
      <c r="F295" s="43"/>
      <c r="G295" s="221"/>
    </row>
    <row r="296" spans="1:7" ht="30.75">
      <c r="A296" s="18" t="s">
        <v>365</v>
      </c>
      <c r="B296" s="42" t="s">
        <v>363</v>
      </c>
      <c r="C296" s="45" t="s">
        <v>366</v>
      </c>
      <c r="D296" s="42"/>
      <c r="E296" s="43">
        <f t="shared" si="1"/>
        <v>1478</v>
      </c>
      <c r="F296" s="43"/>
      <c r="G296" s="221"/>
    </row>
    <row r="297" spans="1:7" ht="30.75">
      <c r="A297" s="18" t="s">
        <v>367</v>
      </c>
      <c r="B297" s="42" t="s">
        <v>363</v>
      </c>
      <c r="C297" s="45" t="s">
        <v>366</v>
      </c>
      <c r="D297" s="42"/>
      <c r="E297" s="43">
        <f t="shared" si="1"/>
        <v>1478</v>
      </c>
      <c r="F297" s="43"/>
      <c r="G297" s="221"/>
    </row>
    <row r="298" spans="1:7" ht="15">
      <c r="A298" s="15" t="s">
        <v>123</v>
      </c>
      <c r="B298" s="42" t="s">
        <v>363</v>
      </c>
      <c r="C298" s="45" t="s">
        <v>366</v>
      </c>
      <c r="D298" s="42" t="s">
        <v>124</v>
      </c>
      <c r="E298" s="43">
        <f t="shared" si="1"/>
        <v>1478</v>
      </c>
      <c r="F298" s="43"/>
      <c r="G298" s="221"/>
    </row>
    <row r="299" spans="1:7" ht="30.75">
      <c r="A299" s="15" t="s">
        <v>125</v>
      </c>
      <c r="B299" s="42" t="s">
        <v>363</v>
      </c>
      <c r="C299" s="45" t="s">
        <v>366</v>
      </c>
      <c r="D299" s="42" t="s">
        <v>126</v>
      </c>
      <c r="E299" s="43">
        <f>1000+380+98</f>
        <v>1478</v>
      </c>
      <c r="F299" s="43"/>
      <c r="G299" s="221"/>
    </row>
    <row r="300" spans="1:8" s="77" customFormat="1" ht="15.75">
      <c r="A300" s="72" t="s">
        <v>368</v>
      </c>
      <c r="B300" s="33" t="s">
        <v>369</v>
      </c>
      <c r="C300" s="38" t="s">
        <v>370</v>
      </c>
      <c r="D300" s="33"/>
      <c r="E300" s="73">
        <f>E301</f>
        <v>2240</v>
      </c>
      <c r="F300" s="73"/>
      <c r="G300" s="221"/>
      <c r="H300" s="76"/>
    </row>
    <row r="301" spans="1:8" s="80" customFormat="1" ht="15">
      <c r="A301" s="78" t="s">
        <v>371</v>
      </c>
      <c r="B301" s="45" t="s">
        <v>369</v>
      </c>
      <c r="C301" s="42" t="s">
        <v>370</v>
      </c>
      <c r="D301" s="45"/>
      <c r="E301" s="51">
        <f>E302</f>
        <v>2240</v>
      </c>
      <c r="F301" s="51"/>
      <c r="G301" s="221"/>
      <c r="H301" s="79"/>
    </row>
    <row r="302" spans="1:7" ht="15">
      <c r="A302" s="78" t="s">
        <v>372</v>
      </c>
      <c r="B302" s="45" t="s">
        <v>369</v>
      </c>
      <c r="C302" s="42" t="s">
        <v>370</v>
      </c>
      <c r="D302" s="45" t="s">
        <v>373</v>
      </c>
      <c r="E302" s="51">
        <f>E303</f>
        <v>2240</v>
      </c>
      <c r="F302" s="51"/>
      <c r="G302" s="221"/>
    </row>
    <row r="303" spans="1:7" ht="15">
      <c r="A303" s="81" t="s">
        <v>374</v>
      </c>
      <c r="B303" s="45" t="s">
        <v>369</v>
      </c>
      <c r="C303" s="42" t="s">
        <v>370</v>
      </c>
      <c r="D303" s="45" t="s">
        <v>375</v>
      </c>
      <c r="E303" s="51">
        <f>990+1250</f>
        <v>2240</v>
      </c>
      <c r="F303" s="51"/>
      <c r="G303" s="221"/>
    </row>
    <row r="304" spans="1:7" ht="15">
      <c r="A304" s="82" t="s">
        <v>376</v>
      </c>
      <c r="B304" s="71"/>
      <c r="C304" s="71"/>
      <c r="D304" s="71"/>
      <c r="E304" s="13">
        <f>E300+E293+E277+E270+E256+E252+E157+E120+E106+E97+E18</f>
        <v>513169.47906</v>
      </c>
      <c r="F304" s="13">
        <f>F300+F293+F277+F270+F256+F252+F157+F120+F106+F97+F18</f>
        <v>148450.20706</v>
      </c>
      <c r="G304" s="221"/>
    </row>
    <row r="305" spans="3:5" ht="15">
      <c r="C305" s="83"/>
      <c r="E305" s="29"/>
    </row>
  </sheetData>
  <sheetProtection selectLockedCells="1" selectUnlockedCells="1"/>
  <mergeCells count="5">
    <mergeCell ref="F16:F17"/>
    <mergeCell ref="A14:E14"/>
    <mergeCell ref="A16:A17"/>
    <mergeCell ref="B16:D16"/>
    <mergeCell ref="E16:E17"/>
  </mergeCells>
  <printOptions horizontalCentered="1"/>
  <pageMargins left="0.15748031496062992" right="0.2362204724409449" top="0.31496062992125984" bottom="0.5118110236220472" header="0.5118110236220472" footer="0.2362204724409449"/>
  <pageSetup fitToHeight="8" fitToWidth="1" orientation="portrait" paperSize="9" scale="73" r:id="rId1"/>
  <headerFooter alignWithMargins="0">
    <oddFooter>&amp;L139/мз</oddFooter>
  </headerFooter>
  <rowBreaks count="6" manualBreakCount="6">
    <brk id="39" max="255" man="1"/>
    <brk id="80" max="255" man="1"/>
    <brk id="119" max="255" man="1"/>
    <brk id="170" max="255" man="1"/>
    <brk id="219" max="255" man="1"/>
    <brk id="27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Q323"/>
  <sheetViews>
    <sheetView tabSelected="1" zoomScaleSheetLayoutView="75" zoomScalePageLayoutView="0" workbookViewId="0" topLeftCell="A1">
      <selection activeCell="C2" sqref="C2:D5"/>
    </sheetView>
  </sheetViews>
  <sheetFormatPr defaultColWidth="9.125" defaultRowHeight="12.75"/>
  <cols>
    <col min="1" max="1" width="73.875" style="9" customWidth="1"/>
    <col min="2" max="2" width="4.50390625" style="9" customWidth="1"/>
    <col min="3" max="3" width="4.125" style="9" customWidth="1"/>
    <col min="4" max="4" width="3.50390625" style="9" customWidth="1"/>
    <col min="5" max="5" width="14.125" style="9" customWidth="1"/>
    <col min="6" max="6" width="4.875" style="9" customWidth="1"/>
    <col min="7" max="7" width="13.875" style="10" customWidth="1"/>
    <col min="8" max="8" width="13.50390625" style="9" customWidth="1"/>
    <col min="9" max="16" width="9.50390625" style="9" customWidth="1"/>
    <col min="17" max="17" width="10.50390625" style="9" customWidth="1"/>
    <col min="18" max="16384" width="9.125" style="9" customWidth="1"/>
  </cols>
  <sheetData>
    <row r="1" spans="3:5" ht="15">
      <c r="C1" s="27" t="s">
        <v>602</v>
      </c>
      <c r="D1" s="23"/>
      <c r="E1" s="28"/>
    </row>
    <row r="2" spans="3:5" ht="15">
      <c r="C2" s="9" t="s">
        <v>738</v>
      </c>
      <c r="D2" s="99"/>
      <c r="E2" s="28"/>
    </row>
    <row r="3" spans="3:5" ht="15">
      <c r="C3" s="9" t="s">
        <v>739</v>
      </c>
      <c r="D3" s="99"/>
      <c r="E3" s="28"/>
    </row>
    <row r="4" spans="3:5" ht="15">
      <c r="C4" s="9" t="s">
        <v>740</v>
      </c>
      <c r="D4" s="99"/>
      <c r="E4" s="23"/>
    </row>
    <row r="5" spans="3:5" ht="15">
      <c r="C5" s="9" t="s">
        <v>741</v>
      </c>
      <c r="D5" s="99"/>
      <c r="E5" s="23"/>
    </row>
    <row r="6" spans="3:5" ht="15" customHeight="1">
      <c r="C6" s="27" t="s">
        <v>90</v>
      </c>
      <c r="D6" s="23"/>
      <c r="E6" s="28"/>
    </row>
    <row r="7" spans="3:5" ht="27" customHeight="1">
      <c r="C7" s="27" t="s">
        <v>377</v>
      </c>
      <c r="D7" s="23"/>
      <c r="E7" s="28"/>
    </row>
    <row r="8" spans="3:5" ht="15">
      <c r="C8" s="27" t="s">
        <v>86</v>
      </c>
      <c r="D8" s="23"/>
      <c r="E8" s="28"/>
    </row>
    <row r="9" spans="3:5" ht="15">
      <c r="C9" s="27" t="s">
        <v>87</v>
      </c>
      <c r="D9" s="23"/>
      <c r="E9" s="28"/>
    </row>
    <row r="10" spans="3:5" ht="15">
      <c r="C10" s="27" t="s">
        <v>88</v>
      </c>
      <c r="D10" s="23"/>
      <c r="E10" s="23"/>
    </row>
    <row r="11" spans="3:5" ht="15">
      <c r="C11" s="27" t="s">
        <v>89</v>
      </c>
      <c r="D11" s="23"/>
      <c r="E11" s="23"/>
    </row>
    <row r="12" spans="3:5" ht="15">
      <c r="C12" s="27" t="s">
        <v>378</v>
      </c>
      <c r="D12" s="23"/>
      <c r="E12" s="28"/>
    </row>
    <row r="13" spans="1:7" ht="34.5" customHeight="1">
      <c r="A13" s="262" t="s">
        <v>379</v>
      </c>
      <c r="B13" s="262"/>
      <c r="C13" s="262"/>
      <c r="D13" s="262"/>
      <c r="E13" s="262"/>
      <c r="F13" s="262"/>
      <c r="G13" s="262"/>
    </row>
    <row r="14" ht="30.75" customHeight="1">
      <c r="G14" s="10" t="s">
        <v>93</v>
      </c>
    </row>
    <row r="15" spans="1:7" s="11" customFormat="1" ht="30.75">
      <c r="A15" s="7" t="s">
        <v>94</v>
      </c>
      <c r="B15" s="7" t="s">
        <v>95</v>
      </c>
      <c r="C15" s="7" t="s">
        <v>380</v>
      </c>
      <c r="D15" s="7" t="s">
        <v>381</v>
      </c>
      <c r="E15" s="7" t="s">
        <v>99</v>
      </c>
      <c r="F15" s="7" t="s">
        <v>100</v>
      </c>
      <c r="G15" s="8" t="s">
        <v>84</v>
      </c>
    </row>
    <row r="16" spans="1:7" s="11" customFormat="1" ht="32.25">
      <c r="A16" s="32" t="s">
        <v>382</v>
      </c>
      <c r="B16" s="84" t="s">
        <v>383</v>
      </c>
      <c r="C16" s="84"/>
      <c r="D16" s="84"/>
      <c r="E16" s="84"/>
      <c r="F16" s="84"/>
      <c r="G16" s="85">
        <f>G17+G64+G74+G88+G125+G211+G215+G229+G235+G250+G257</f>
        <v>485581.27005999995</v>
      </c>
    </row>
    <row r="17" spans="1:8" s="66" customFormat="1" ht="15.75">
      <c r="A17" s="32" t="s">
        <v>101</v>
      </c>
      <c r="B17" s="14" t="s">
        <v>383</v>
      </c>
      <c r="C17" s="14" t="s">
        <v>384</v>
      </c>
      <c r="D17" s="84"/>
      <c r="E17" s="84"/>
      <c r="F17" s="84"/>
      <c r="G17" s="86">
        <f>G18+G23+G43+G53+G39</f>
        <v>42846.96226</v>
      </c>
      <c r="H17" s="65"/>
    </row>
    <row r="18" spans="1:7" s="11" customFormat="1" ht="32.25">
      <c r="A18" s="32" t="s">
        <v>103</v>
      </c>
      <c r="B18" s="14" t="s">
        <v>383</v>
      </c>
      <c r="C18" s="14" t="s">
        <v>384</v>
      </c>
      <c r="D18" s="1" t="s">
        <v>385</v>
      </c>
      <c r="E18" s="16"/>
      <c r="F18" s="16"/>
      <c r="G18" s="73">
        <f>G19</f>
        <v>1801</v>
      </c>
    </row>
    <row r="19" spans="1:7" s="11" customFormat="1" ht="46.5">
      <c r="A19" s="41" t="s">
        <v>105</v>
      </c>
      <c r="B19" s="14" t="s">
        <v>383</v>
      </c>
      <c r="C19" s="14" t="s">
        <v>384</v>
      </c>
      <c r="D19" s="1" t="s">
        <v>385</v>
      </c>
      <c r="E19" s="42" t="s">
        <v>106</v>
      </c>
      <c r="F19" s="14"/>
      <c r="G19" s="51">
        <f>G20</f>
        <v>1801</v>
      </c>
    </row>
    <row r="20" spans="1:7" s="11" customFormat="1" ht="15">
      <c r="A20" s="41" t="s">
        <v>107</v>
      </c>
      <c r="B20" s="14" t="s">
        <v>383</v>
      </c>
      <c r="C20" s="14" t="s">
        <v>384</v>
      </c>
      <c r="D20" s="1" t="s">
        <v>385</v>
      </c>
      <c r="E20" s="42" t="s">
        <v>108</v>
      </c>
      <c r="F20" s="14"/>
      <c r="G20" s="51">
        <f>G22</f>
        <v>1801</v>
      </c>
    </row>
    <row r="21" spans="1:7" s="11" customFormat="1" ht="60.75" customHeight="1">
      <c r="A21" s="41" t="s">
        <v>109</v>
      </c>
      <c r="B21" s="14" t="s">
        <v>383</v>
      </c>
      <c r="C21" s="14" t="s">
        <v>384</v>
      </c>
      <c r="D21" s="1" t="s">
        <v>385</v>
      </c>
      <c r="E21" s="42" t="s">
        <v>108</v>
      </c>
      <c r="F21" s="14" t="s">
        <v>110</v>
      </c>
      <c r="G21" s="51">
        <f>G22</f>
        <v>1801</v>
      </c>
    </row>
    <row r="22" spans="1:7" s="11" customFormat="1" ht="15">
      <c r="A22" s="41" t="s">
        <v>111</v>
      </c>
      <c r="B22" s="14" t="s">
        <v>383</v>
      </c>
      <c r="C22" s="14" t="s">
        <v>384</v>
      </c>
      <c r="D22" s="14" t="s">
        <v>385</v>
      </c>
      <c r="E22" s="42" t="s">
        <v>108</v>
      </c>
      <c r="F22" s="14" t="s">
        <v>112</v>
      </c>
      <c r="G22" s="51">
        <f>1364+437</f>
        <v>1801</v>
      </c>
    </row>
    <row r="23" spans="1:7" s="11" customFormat="1" ht="48">
      <c r="A23" s="46" t="s">
        <v>131</v>
      </c>
      <c r="B23" s="14" t="s">
        <v>383</v>
      </c>
      <c r="C23" s="14" t="s">
        <v>384</v>
      </c>
      <c r="D23" s="14" t="s">
        <v>386</v>
      </c>
      <c r="E23" s="33"/>
      <c r="F23" s="16"/>
      <c r="G23" s="73">
        <f>G24</f>
        <v>25044</v>
      </c>
    </row>
    <row r="24" spans="1:7" s="40" customFormat="1" ht="46.5">
      <c r="A24" s="41" t="s">
        <v>105</v>
      </c>
      <c r="B24" s="14" t="s">
        <v>383</v>
      </c>
      <c r="C24" s="14" t="s">
        <v>384</v>
      </c>
      <c r="D24" s="14" t="s">
        <v>386</v>
      </c>
      <c r="E24" s="42" t="s">
        <v>118</v>
      </c>
      <c r="F24" s="14"/>
      <c r="G24" s="51">
        <f>G25</f>
        <v>25044</v>
      </c>
    </row>
    <row r="25" spans="1:7" s="40" customFormat="1" ht="15">
      <c r="A25" s="44" t="s">
        <v>117</v>
      </c>
      <c r="B25" s="14" t="s">
        <v>383</v>
      </c>
      <c r="C25" s="14" t="s">
        <v>384</v>
      </c>
      <c r="D25" s="14" t="s">
        <v>386</v>
      </c>
      <c r="E25" s="42" t="s">
        <v>118</v>
      </c>
      <c r="F25" s="14"/>
      <c r="G25" s="51">
        <f>G26+G29+G32</f>
        <v>25044</v>
      </c>
    </row>
    <row r="26" spans="1:7" s="40" customFormat="1" ht="15">
      <c r="A26" s="41" t="s">
        <v>133</v>
      </c>
      <c r="B26" s="14" t="s">
        <v>383</v>
      </c>
      <c r="C26" s="14" t="s">
        <v>384</v>
      </c>
      <c r="D26" s="14" t="s">
        <v>386</v>
      </c>
      <c r="E26" s="45" t="s">
        <v>134</v>
      </c>
      <c r="F26" s="14"/>
      <c r="G26" s="51">
        <f>G28</f>
        <v>8178.2</v>
      </c>
    </row>
    <row r="27" spans="1:7" s="40" customFormat="1" ht="45.75" customHeight="1">
      <c r="A27" s="41" t="s">
        <v>109</v>
      </c>
      <c r="B27" s="14" t="s">
        <v>383</v>
      </c>
      <c r="C27" s="14" t="s">
        <v>384</v>
      </c>
      <c r="D27" s="14" t="s">
        <v>386</v>
      </c>
      <c r="E27" s="45" t="s">
        <v>134</v>
      </c>
      <c r="F27" s="14" t="s">
        <v>110</v>
      </c>
      <c r="G27" s="51">
        <f>G28</f>
        <v>8178.2</v>
      </c>
    </row>
    <row r="28" spans="1:7" s="40" customFormat="1" ht="15">
      <c r="A28" s="41" t="s">
        <v>111</v>
      </c>
      <c r="B28" s="14" t="s">
        <v>383</v>
      </c>
      <c r="C28" s="14" t="s">
        <v>384</v>
      </c>
      <c r="D28" s="14" t="s">
        <v>386</v>
      </c>
      <c r="E28" s="45" t="s">
        <v>134</v>
      </c>
      <c r="F28" s="14" t="s">
        <v>112</v>
      </c>
      <c r="G28" s="51">
        <f>5861+330.2+226+1761</f>
        <v>8178.2</v>
      </c>
    </row>
    <row r="29" spans="1:7" s="40" customFormat="1" ht="30.75">
      <c r="A29" s="41" t="s">
        <v>119</v>
      </c>
      <c r="B29" s="14" t="s">
        <v>383</v>
      </c>
      <c r="C29" s="14" t="s">
        <v>384</v>
      </c>
      <c r="D29" s="14" t="s">
        <v>386</v>
      </c>
      <c r="E29" s="45" t="s">
        <v>120</v>
      </c>
      <c r="F29" s="14"/>
      <c r="G29" s="51">
        <f>G30</f>
        <v>11056.8</v>
      </c>
    </row>
    <row r="30" spans="1:7" s="40" customFormat="1" ht="62.25">
      <c r="A30" s="41" t="s">
        <v>109</v>
      </c>
      <c r="B30" s="14" t="s">
        <v>383</v>
      </c>
      <c r="C30" s="14" t="s">
        <v>384</v>
      </c>
      <c r="D30" s="14" t="s">
        <v>386</v>
      </c>
      <c r="E30" s="45" t="s">
        <v>120</v>
      </c>
      <c r="F30" s="14" t="s">
        <v>110</v>
      </c>
      <c r="G30" s="51">
        <f>G31</f>
        <v>11056.8</v>
      </c>
    </row>
    <row r="31" spans="1:7" s="40" customFormat="1" ht="30.75">
      <c r="A31" s="41" t="s">
        <v>111</v>
      </c>
      <c r="B31" s="14" t="s">
        <v>383</v>
      </c>
      <c r="C31" s="14" t="s">
        <v>384</v>
      </c>
      <c r="D31" s="14" t="s">
        <v>386</v>
      </c>
      <c r="E31" s="45" t="s">
        <v>120</v>
      </c>
      <c r="F31" s="14" t="s">
        <v>112</v>
      </c>
      <c r="G31" s="51">
        <f>5998-330.2+2000+340+3049</f>
        <v>11056.8</v>
      </c>
    </row>
    <row r="32" spans="1:7" s="40" customFormat="1" ht="19.5" customHeight="1">
      <c r="A32" s="41" t="s">
        <v>121</v>
      </c>
      <c r="B32" s="14" t="s">
        <v>383</v>
      </c>
      <c r="C32" s="14" t="s">
        <v>384</v>
      </c>
      <c r="D32" s="14" t="s">
        <v>386</v>
      </c>
      <c r="E32" s="45" t="s">
        <v>122</v>
      </c>
      <c r="F32" s="14"/>
      <c r="G32" s="51">
        <f>G33+G35+G37</f>
        <v>5809</v>
      </c>
    </row>
    <row r="33" spans="1:7" s="40" customFormat="1" ht="46.5" customHeight="1">
      <c r="A33" s="41" t="s">
        <v>109</v>
      </c>
      <c r="B33" s="14" t="s">
        <v>383</v>
      </c>
      <c r="C33" s="14" t="s">
        <v>384</v>
      </c>
      <c r="D33" s="14" t="s">
        <v>386</v>
      </c>
      <c r="E33" s="45" t="s">
        <v>122</v>
      </c>
      <c r="F33" s="14" t="s">
        <v>110</v>
      </c>
      <c r="G33" s="51">
        <f>G34</f>
        <v>22</v>
      </c>
    </row>
    <row r="34" spans="1:7" s="40" customFormat="1" ht="15">
      <c r="A34" s="41" t="s">
        <v>111</v>
      </c>
      <c r="B34" s="14" t="s">
        <v>383</v>
      </c>
      <c r="C34" s="14" t="s">
        <v>384</v>
      </c>
      <c r="D34" s="14" t="s">
        <v>386</v>
      </c>
      <c r="E34" s="45" t="s">
        <v>122</v>
      </c>
      <c r="F34" s="14" t="s">
        <v>112</v>
      </c>
      <c r="G34" s="51">
        <v>22</v>
      </c>
    </row>
    <row r="35" spans="1:7" s="40" customFormat="1" ht="15">
      <c r="A35" s="41" t="s">
        <v>123</v>
      </c>
      <c r="B35" s="14" t="s">
        <v>383</v>
      </c>
      <c r="C35" s="14" t="s">
        <v>384</v>
      </c>
      <c r="D35" s="14" t="s">
        <v>386</v>
      </c>
      <c r="E35" s="45" t="s">
        <v>122</v>
      </c>
      <c r="F35" s="14" t="s">
        <v>124</v>
      </c>
      <c r="G35" s="51">
        <f>G36</f>
        <v>5692</v>
      </c>
    </row>
    <row r="36" spans="1:7" s="40" customFormat="1" ht="18.75" customHeight="1">
      <c r="A36" s="41" t="s">
        <v>125</v>
      </c>
      <c r="B36" s="14" t="s">
        <v>383</v>
      </c>
      <c r="C36" s="14" t="s">
        <v>384</v>
      </c>
      <c r="D36" s="14" t="s">
        <v>386</v>
      </c>
      <c r="E36" s="45" t="s">
        <v>122</v>
      </c>
      <c r="F36" s="14" t="s">
        <v>126</v>
      </c>
      <c r="G36" s="51">
        <f>4207-15+1500</f>
        <v>5692</v>
      </c>
    </row>
    <row r="37" spans="1:7" s="40" customFormat="1" ht="15">
      <c r="A37" s="41" t="s">
        <v>127</v>
      </c>
      <c r="B37" s="14" t="s">
        <v>383</v>
      </c>
      <c r="C37" s="14" t="s">
        <v>384</v>
      </c>
      <c r="D37" s="14" t="s">
        <v>386</v>
      </c>
      <c r="E37" s="45" t="s">
        <v>122</v>
      </c>
      <c r="F37" s="14" t="s">
        <v>128</v>
      </c>
      <c r="G37" s="51">
        <f>G38</f>
        <v>95</v>
      </c>
    </row>
    <row r="38" spans="1:7" s="40" customFormat="1" ht="15">
      <c r="A38" s="41" t="s">
        <v>129</v>
      </c>
      <c r="B38" s="14" t="s">
        <v>383</v>
      </c>
      <c r="C38" s="14" t="s">
        <v>384</v>
      </c>
      <c r="D38" s="14" t="s">
        <v>386</v>
      </c>
      <c r="E38" s="45" t="s">
        <v>122</v>
      </c>
      <c r="F38" s="14" t="s">
        <v>130</v>
      </c>
      <c r="G38" s="51">
        <f>80+15</f>
        <v>95</v>
      </c>
    </row>
    <row r="39" spans="1:7" s="40" customFormat="1" ht="15.75">
      <c r="A39" s="32" t="s">
        <v>139</v>
      </c>
      <c r="B39" s="14" t="s">
        <v>383</v>
      </c>
      <c r="C39" s="14" t="s">
        <v>384</v>
      </c>
      <c r="D39" s="14" t="s">
        <v>387</v>
      </c>
      <c r="E39" s="42"/>
      <c r="F39" s="45"/>
      <c r="G39" s="43">
        <f>G40</f>
        <v>712</v>
      </c>
    </row>
    <row r="40" spans="1:7" s="40" customFormat="1" ht="15">
      <c r="A40" s="41" t="s">
        <v>142</v>
      </c>
      <c r="B40" s="14" t="s">
        <v>383</v>
      </c>
      <c r="C40" s="14" t="s">
        <v>384</v>
      </c>
      <c r="D40" s="14" t="s">
        <v>387</v>
      </c>
      <c r="E40" s="42" t="s">
        <v>141</v>
      </c>
      <c r="F40" s="45"/>
      <c r="G40" s="43">
        <f>G41</f>
        <v>712</v>
      </c>
    </row>
    <row r="41" spans="1:7" s="40" customFormat="1" ht="15">
      <c r="A41" s="41" t="s">
        <v>127</v>
      </c>
      <c r="B41" s="14" t="s">
        <v>383</v>
      </c>
      <c r="C41" s="14" t="s">
        <v>384</v>
      </c>
      <c r="D41" s="14" t="s">
        <v>387</v>
      </c>
      <c r="E41" s="42" t="s">
        <v>141</v>
      </c>
      <c r="F41" s="45" t="s">
        <v>128</v>
      </c>
      <c r="G41" s="43">
        <f>G42</f>
        <v>712</v>
      </c>
    </row>
    <row r="42" spans="1:7" s="40" customFormat="1" ht="15">
      <c r="A42" s="41" t="s">
        <v>143</v>
      </c>
      <c r="B42" s="14" t="s">
        <v>383</v>
      </c>
      <c r="C42" s="14" t="s">
        <v>384</v>
      </c>
      <c r="D42" s="14" t="s">
        <v>387</v>
      </c>
      <c r="E42" s="42" t="s">
        <v>141</v>
      </c>
      <c r="F42" s="45" t="s">
        <v>144</v>
      </c>
      <c r="G42" s="43">
        <v>712</v>
      </c>
    </row>
    <row r="43" spans="1:7" s="40" customFormat="1" ht="15.75">
      <c r="A43" s="46" t="s">
        <v>145</v>
      </c>
      <c r="B43" s="14" t="s">
        <v>383</v>
      </c>
      <c r="C43" s="14" t="s">
        <v>384</v>
      </c>
      <c r="D43" s="14" t="s">
        <v>388</v>
      </c>
      <c r="E43" s="33"/>
      <c r="F43" s="16"/>
      <c r="G43" s="13">
        <f>G44+G49</f>
        <v>5276.162259999999</v>
      </c>
    </row>
    <row r="44" spans="1:7" s="40" customFormat="1" ht="30.75">
      <c r="A44" s="48" t="s">
        <v>145</v>
      </c>
      <c r="B44" s="14" t="s">
        <v>383</v>
      </c>
      <c r="C44" s="14" t="s">
        <v>384</v>
      </c>
      <c r="D44" s="14" t="s">
        <v>388</v>
      </c>
      <c r="E44" s="45" t="s">
        <v>148</v>
      </c>
      <c r="F44" s="14"/>
      <c r="G44" s="43">
        <f>G45</f>
        <v>4776.162259999999</v>
      </c>
    </row>
    <row r="45" spans="1:7" s="40" customFormat="1" ht="30.75">
      <c r="A45" s="18" t="s">
        <v>147</v>
      </c>
      <c r="B45" s="14" t="s">
        <v>383</v>
      </c>
      <c r="C45" s="14" t="s">
        <v>384</v>
      </c>
      <c r="D45" s="14" t="s">
        <v>388</v>
      </c>
      <c r="E45" s="45" t="s">
        <v>148</v>
      </c>
      <c r="F45" s="14"/>
      <c r="G45" s="43">
        <f>G46</f>
        <v>4776.162259999999</v>
      </c>
    </row>
    <row r="46" spans="1:7" s="40" customFormat="1" ht="30.75">
      <c r="A46" s="44" t="s">
        <v>149</v>
      </c>
      <c r="B46" s="14" t="s">
        <v>383</v>
      </c>
      <c r="C46" s="14" t="s">
        <v>384</v>
      </c>
      <c r="D46" s="14" t="s">
        <v>388</v>
      </c>
      <c r="E46" s="45" t="s">
        <v>148</v>
      </c>
      <c r="F46" s="14"/>
      <c r="G46" s="43">
        <f>G47</f>
        <v>4776.162259999999</v>
      </c>
    </row>
    <row r="47" spans="1:7" s="40" customFormat="1" ht="30.75">
      <c r="A47" s="41" t="s">
        <v>127</v>
      </c>
      <c r="B47" s="14" t="s">
        <v>383</v>
      </c>
      <c r="C47" s="14" t="s">
        <v>384</v>
      </c>
      <c r="D47" s="14" t="s">
        <v>388</v>
      </c>
      <c r="E47" s="45" t="s">
        <v>148</v>
      </c>
      <c r="F47" s="14" t="s">
        <v>128</v>
      </c>
      <c r="G47" s="43">
        <f>G48</f>
        <v>4776.162259999999</v>
      </c>
    </row>
    <row r="48" spans="1:7" s="40" customFormat="1" ht="30.75">
      <c r="A48" s="44" t="s">
        <v>150</v>
      </c>
      <c r="B48" s="14" t="s">
        <v>383</v>
      </c>
      <c r="C48" s="14" t="s">
        <v>384</v>
      </c>
      <c r="D48" s="14" t="s">
        <v>388</v>
      </c>
      <c r="E48" s="45" t="s">
        <v>148</v>
      </c>
      <c r="F48" s="14" t="s">
        <v>151</v>
      </c>
      <c r="G48" s="43">
        <f>1000-450.13025+9000-42.08385-776.9306-3954.69304</f>
        <v>4776.162259999999</v>
      </c>
    </row>
    <row r="49" spans="1:7" s="40" customFormat="1" ht="37.5" customHeight="1">
      <c r="A49" s="50" t="s">
        <v>152</v>
      </c>
      <c r="B49" s="14" t="s">
        <v>383</v>
      </c>
      <c r="C49" s="14" t="s">
        <v>384</v>
      </c>
      <c r="D49" s="14"/>
      <c r="E49" s="42" t="s">
        <v>153</v>
      </c>
      <c r="F49" s="34"/>
      <c r="G49" s="43">
        <f>G50</f>
        <v>500</v>
      </c>
    </row>
    <row r="50" spans="1:7" s="40" customFormat="1" ht="42" customHeight="1">
      <c r="A50" s="50" t="s">
        <v>154</v>
      </c>
      <c r="B50" s="14" t="s">
        <v>383</v>
      </c>
      <c r="C50" s="14" t="s">
        <v>384</v>
      </c>
      <c r="D50" s="14" t="s">
        <v>388</v>
      </c>
      <c r="E50" s="42" t="s">
        <v>155</v>
      </c>
      <c r="G50" s="43">
        <f>G51</f>
        <v>500</v>
      </c>
    </row>
    <row r="51" spans="1:7" s="40" customFormat="1" ht="15">
      <c r="A51" s="41" t="s">
        <v>127</v>
      </c>
      <c r="B51" s="14" t="s">
        <v>383</v>
      </c>
      <c r="C51" s="14" t="s">
        <v>384</v>
      </c>
      <c r="D51" s="14" t="s">
        <v>388</v>
      </c>
      <c r="E51" s="42" t="s">
        <v>155</v>
      </c>
      <c r="F51" s="45" t="s">
        <v>128</v>
      </c>
      <c r="G51" s="43">
        <f>G52</f>
        <v>500</v>
      </c>
    </row>
    <row r="52" spans="1:7" s="40" customFormat="1" ht="15">
      <c r="A52" s="44" t="s">
        <v>150</v>
      </c>
      <c r="B52" s="14" t="s">
        <v>383</v>
      </c>
      <c r="C52" s="14" t="s">
        <v>384</v>
      </c>
      <c r="D52" s="14" t="s">
        <v>388</v>
      </c>
      <c r="E52" s="42" t="s">
        <v>155</v>
      </c>
      <c r="F52" s="45" t="s">
        <v>151</v>
      </c>
      <c r="G52" s="51">
        <v>500</v>
      </c>
    </row>
    <row r="53" spans="1:8" s="40" customFormat="1" ht="15.75">
      <c r="A53" s="46" t="s">
        <v>156</v>
      </c>
      <c r="B53" s="14" t="s">
        <v>383</v>
      </c>
      <c r="C53" s="14" t="s">
        <v>384</v>
      </c>
      <c r="D53" s="14" t="s">
        <v>389</v>
      </c>
      <c r="E53" s="33"/>
      <c r="F53" s="16"/>
      <c r="G53" s="13">
        <f>G54+G60</f>
        <v>10013.8</v>
      </c>
      <c r="H53" s="87"/>
    </row>
    <row r="54" spans="1:8" s="40" customFormat="1" ht="37.5" customHeight="1">
      <c r="A54" s="15" t="s">
        <v>158</v>
      </c>
      <c r="B54" s="14" t="s">
        <v>383</v>
      </c>
      <c r="C54" s="14" t="s">
        <v>384</v>
      </c>
      <c r="D54" s="14" t="s">
        <v>389</v>
      </c>
      <c r="E54" s="45" t="s">
        <v>159</v>
      </c>
      <c r="F54" s="14"/>
      <c r="G54" s="51">
        <f>G55</f>
        <v>9993.8</v>
      </c>
      <c r="H54" s="87"/>
    </row>
    <row r="55" spans="1:8" s="40" customFormat="1" ht="62.25">
      <c r="A55" s="15" t="s">
        <v>160</v>
      </c>
      <c r="B55" s="14" t="s">
        <v>383</v>
      </c>
      <c r="C55" s="14" t="s">
        <v>384</v>
      </c>
      <c r="D55" s="14" t="s">
        <v>389</v>
      </c>
      <c r="E55" s="45" t="s">
        <v>161</v>
      </c>
      <c r="F55" s="14"/>
      <c r="G55" s="51">
        <f>G56+G58</f>
        <v>9993.8</v>
      </c>
      <c r="H55" s="87"/>
    </row>
    <row r="56" spans="1:7" s="40" customFormat="1" ht="30.75">
      <c r="A56" s="52" t="s">
        <v>123</v>
      </c>
      <c r="B56" s="14" t="s">
        <v>383</v>
      </c>
      <c r="C56" s="14" t="s">
        <v>384</v>
      </c>
      <c r="D56" s="14" t="s">
        <v>389</v>
      </c>
      <c r="E56" s="45" t="s">
        <v>161</v>
      </c>
      <c r="F56" s="14" t="s">
        <v>124</v>
      </c>
      <c r="G56" s="51">
        <f>G57</f>
        <v>4630</v>
      </c>
    </row>
    <row r="57" spans="1:7" s="40" customFormat="1" ht="30.75">
      <c r="A57" s="52" t="s">
        <v>125</v>
      </c>
      <c r="B57" s="14" t="s">
        <v>383</v>
      </c>
      <c r="C57" s="14" t="s">
        <v>384</v>
      </c>
      <c r="D57" s="14" t="s">
        <v>389</v>
      </c>
      <c r="E57" s="45" t="s">
        <v>161</v>
      </c>
      <c r="F57" s="14" t="s">
        <v>126</v>
      </c>
      <c r="G57" s="51">
        <f>6150-2020+500</f>
        <v>4630</v>
      </c>
    </row>
    <row r="58" spans="1:7" s="40" customFormat="1" ht="30.75">
      <c r="A58" s="41" t="s">
        <v>127</v>
      </c>
      <c r="B58" s="14" t="s">
        <v>383</v>
      </c>
      <c r="C58" s="14" t="s">
        <v>384</v>
      </c>
      <c r="D58" s="14" t="s">
        <v>389</v>
      </c>
      <c r="E58" s="45" t="s">
        <v>161</v>
      </c>
      <c r="F58" s="14" t="s">
        <v>128</v>
      </c>
      <c r="G58" s="51">
        <f>G59</f>
        <v>5363.8</v>
      </c>
    </row>
    <row r="59" spans="1:7" s="40" customFormat="1" ht="30.75">
      <c r="A59" s="41" t="s">
        <v>129</v>
      </c>
      <c r="B59" s="14" t="s">
        <v>383</v>
      </c>
      <c r="C59" s="14" t="s">
        <v>384</v>
      </c>
      <c r="D59" s="14" t="s">
        <v>389</v>
      </c>
      <c r="E59" s="45" t="s">
        <v>161</v>
      </c>
      <c r="F59" s="14" t="s">
        <v>130</v>
      </c>
      <c r="G59" s="51">
        <f>2020+10000-3000-1676.2-300-380-300-1000</f>
        <v>5363.8</v>
      </c>
    </row>
    <row r="60" spans="1:7" s="40" customFormat="1" ht="30.75">
      <c r="A60" s="15" t="s">
        <v>162</v>
      </c>
      <c r="B60" s="14" t="s">
        <v>383</v>
      </c>
      <c r="C60" s="14" t="s">
        <v>384</v>
      </c>
      <c r="D60" s="14" t="s">
        <v>389</v>
      </c>
      <c r="E60" s="45" t="s">
        <v>163</v>
      </c>
      <c r="F60" s="45"/>
      <c r="G60" s="43">
        <f>G61</f>
        <v>20</v>
      </c>
    </row>
    <row r="61" spans="1:7" s="40" customFormat="1" ht="15">
      <c r="A61" s="15" t="s">
        <v>164</v>
      </c>
      <c r="B61" s="14" t="s">
        <v>383</v>
      </c>
      <c r="C61" s="14" t="s">
        <v>384</v>
      </c>
      <c r="D61" s="14" t="s">
        <v>389</v>
      </c>
      <c r="E61" s="45" t="s">
        <v>165</v>
      </c>
      <c r="F61" s="45"/>
      <c r="G61" s="43">
        <f>G62</f>
        <v>20</v>
      </c>
    </row>
    <row r="62" spans="1:7" s="40" customFormat="1" ht="15">
      <c r="A62" s="52" t="s">
        <v>123</v>
      </c>
      <c r="B62" s="14" t="s">
        <v>383</v>
      </c>
      <c r="C62" s="14" t="s">
        <v>384</v>
      </c>
      <c r="D62" s="14" t="s">
        <v>389</v>
      </c>
      <c r="E62" s="45" t="s">
        <v>165</v>
      </c>
      <c r="F62" s="45" t="s">
        <v>124</v>
      </c>
      <c r="G62" s="43">
        <f>G63</f>
        <v>20</v>
      </c>
    </row>
    <row r="63" spans="1:7" s="40" customFormat="1" ht="30.75">
      <c r="A63" s="52" t="s">
        <v>125</v>
      </c>
      <c r="B63" s="14" t="s">
        <v>383</v>
      </c>
      <c r="C63" s="14" t="s">
        <v>384</v>
      </c>
      <c r="D63" s="14" t="s">
        <v>389</v>
      </c>
      <c r="E63" s="45" t="s">
        <v>165</v>
      </c>
      <c r="F63" s="45" t="s">
        <v>126</v>
      </c>
      <c r="G63" s="43">
        <v>20</v>
      </c>
    </row>
    <row r="64" spans="1:7" s="40" customFormat="1" ht="15.75">
      <c r="A64" s="46" t="s">
        <v>172</v>
      </c>
      <c r="B64" s="14" t="s">
        <v>383</v>
      </c>
      <c r="C64" s="14" t="s">
        <v>385</v>
      </c>
      <c r="D64" s="14" t="s">
        <v>390</v>
      </c>
      <c r="E64" s="34"/>
      <c r="F64" s="84"/>
      <c r="G64" s="63">
        <f>G67+G65</f>
        <v>1178</v>
      </c>
    </row>
    <row r="65" spans="1:7" s="40" customFormat="1" ht="62.25">
      <c r="A65" s="41" t="s">
        <v>109</v>
      </c>
      <c r="B65" s="14" t="s">
        <v>383</v>
      </c>
      <c r="C65" s="14" t="s">
        <v>385</v>
      </c>
      <c r="D65" s="14" t="s">
        <v>390</v>
      </c>
      <c r="E65" s="45" t="s">
        <v>134</v>
      </c>
      <c r="F65" s="45" t="s">
        <v>110</v>
      </c>
      <c r="G65" s="43">
        <f>G66</f>
        <v>230</v>
      </c>
    </row>
    <row r="66" spans="1:7" s="40" customFormat="1" ht="15">
      <c r="A66" s="41" t="s">
        <v>111</v>
      </c>
      <c r="B66" s="14" t="s">
        <v>383</v>
      </c>
      <c r="C66" s="14" t="s">
        <v>385</v>
      </c>
      <c r="D66" s="14" t="s">
        <v>390</v>
      </c>
      <c r="E66" s="45" t="s">
        <v>134</v>
      </c>
      <c r="F66" s="45" t="s">
        <v>112</v>
      </c>
      <c r="G66" s="43">
        <v>230</v>
      </c>
    </row>
    <row r="67" spans="1:7" s="11" customFormat="1" ht="15">
      <c r="A67" s="54" t="s">
        <v>174</v>
      </c>
      <c r="B67" s="14" t="s">
        <v>383</v>
      </c>
      <c r="C67" s="14" t="s">
        <v>385</v>
      </c>
      <c r="D67" s="14" t="s">
        <v>390</v>
      </c>
      <c r="E67" s="45" t="s">
        <v>176</v>
      </c>
      <c r="F67" s="14"/>
      <c r="G67" s="51">
        <f>G68</f>
        <v>948</v>
      </c>
    </row>
    <row r="68" spans="1:7" s="11" customFormat="1" ht="15">
      <c r="A68" s="54" t="s">
        <v>391</v>
      </c>
      <c r="B68" s="14" t="s">
        <v>383</v>
      </c>
      <c r="C68" s="14" t="s">
        <v>385</v>
      </c>
      <c r="D68" s="14" t="s">
        <v>390</v>
      </c>
      <c r="E68" s="45" t="s">
        <v>176</v>
      </c>
      <c r="F68" s="14"/>
      <c r="G68" s="51">
        <f>G69</f>
        <v>948</v>
      </c>
    </row>
    <row r="69" spans="1:7" s="11" customFormat="1" ht="30.75">
      <c r="A69" s="54" t="s">
        <v>177</v>
      </c>
      <c r="B69" s="14" t="s">
        <v>383</v>
      </c>
      <c r="C69" s="14" t="s">
        <v>385</v>
      </c>
      <c r="D69" s="14" t="s">
        <v>390</v>
      </c>
      <c r="E69" s="45" t="s">
        <v>176</v>
      </c>
      <c r="F69" s="45"/>
      <c r="G69" s="43">
        <f>G70+G72</f>
        <v>948</v>
      </c>
    </row>
    <row r="70" spans="1:7" s="11" customFormat="1" ht="51.75" customHeight="1">
      <c r="A70" s="41" t="s">
        <v>109</v>
      </c>
      <c r="B70" s="14" t="s">
        <v>383</v>
      </c>
      <c r="C70" s="14" t="s">
        <v>385</v>
      </c>
      <c r="D70" s="14" t="s">
        <v>390</v>
      </c>
      <c r="E70" s="45" t="s">
        <v>176</v>
      </c>
      <c r="F70" s="45" t="s">
        <v>110</v>
      </c>
      <c r="G70" s="43">
        <f>G71</f>
        <v>853.7</v>
      </c>
    </row>
    <row r="71" spans="1:7" s="11" customFormat="1" ht="15">
      <c r="A71" s="41" t="s">
        <v>111</v>
      </c>
      <c r="B71" s="14" t="s">
        <v>383</v>
      </c>
      <c r="C71" s="14" t="s">
        <v>385</v>
      </c>
      <c r="D71" s="14" t="s">
        <v>390</v>
      </c>
      <c r="E71" s="45" t="s">
        <v>176</v>
      </c>
      <c r="F71" s="45" t="s">
        <v>112</v>
      </c>
      <c r="G71" s="43">
        <f>705.7+62+9+77</f>
        <v>853.7</v>
      </c>
    </row>
    <row r="72" spans="1:7" s="11" customFormat="1" ht="15">
      <c r="A72" s="52" t="s">
        <v>123</v>
      </c>
      <c r="B72" s="14" t="s">
        <v>383</v>
      </c>
      <c r="C72" s="14" t="s">
        <v>385</v>
      </c>
      <c r="D72" s="14" t="s">
        <v>390</v>
      </c>
      <c r="E72" s="45" t="s">
        <v>176</v>
      </c>
      <c r="F72" s="45" t="s">
        <v>124</v>
      </c>
      <c r="G72" s="43">
        <f>G73</f>
        <v>94.3</v>
      </c>
    </row>
    <row r="73" spans="1:7" s="11" customFormat="1" ht="27" customHeight="1">
      <c r="A73" s="52" t="s">
        <v>125</v>
      </c>
      <c r="B73" s="14" t="s">
        <v>383</v>
      </c>
      <c r="C73" s="14" t="s">
        <v>385</v>
      </c>
      <c r="D73" s="14" t="s">
        <v>390</v>
      </c>
      <c r="E73" s="45" t="s">
        <v>176</v>
      </c>
      <c r="F73" s="45" t="s">
        <v>126</v>
      </c>
      <c r="G73" s="43">
        <v>94.3</v>
      </c>
    </row>
    <row r="74" spans="1:7" s="11" customFormat="1" ht="18.75" customHeight="1">
      <c r="A74" s="46" t="s">
        <v>178</v>
      </c>
      <c r="B74" s="14" t="s">
        <v>383</v>
      </c>
      <c r="C74" s="14" t="s">
        <v>390</v>
      </c>
      <c r="D74" s="14"/>
      <c r="E74" s="33"/>
      <c r="F74" s="16"/>
      <c r="G74" s="13">
        <f>G75</f>
        <v>226.10000000000002</v>
      </c>
    </row>
    <row r="75" spans="1:7" s="11" customFormat="1" ht="37.5" customHeight="1">
      <c r="A75" s="50" t="s">
        <v>152</v>
      </c>
      <c r="B75" s="14" t="s">
        <v>383</v>
      </c>
      <c r="C75" s="14" t="s">
        <v>390</v>
      </c>
      <c r="D75" s="14" t="s">
        <v>392</v>
      </c>
      <c r="E75" s="42" t="s">
        <v>153</v>
      </c>
      <c r="F75" s="84"/>
      <c r="G75" s="43">
        <f>G79+G76+G82+G85</f>
        <v>226.10000000000002</v>
      </c>
    </row>
    <row r="76" spans="1:7" s="11" customFormat="1" ht="15">
      <c r="A76" s="55" t="s">
        <v>181</v>
      </c>
      <c r="B76" s="14" t="s">
        <v>383</v>
      </c>
      <c r="C76" s="14" t="s">
        <v>390</v>
      </c>
      <c r="D76" s="14" t="s">
        <v>392</v>
      </c>
      <c r="E76" s="42" t="s">
        <v>183</v>
      </c>
      <c r="F76" s="14"/>
      <c r="G76" s="43">
        <f>G77</f>
        <v>7.500000000000011</v>
      </c>
    </row>
    <row r="77" spans="1:7" s="11" customFormat="1" ht="15">
      <c r="A77" s="52" t="s">
        <v>123</v>
      </c>
      <c r="B77" s="14" t="s">
        <v>383</v>
      </c>
      <c r="C77" s="14" t="s">
        <v>390</v>
      </c>
      <c r="D77" s="14" t="s">
        <v>392</v>
      </c>
      <c r="E77" s="42" t="s">
        <v>183</v>
      </c>
      <c r="F77" s="14" t="s">
        <v>124</v>
      </c>
      <c r="G77" s="43">
        <f>G78</f>
        <v>7.500000000000011</v>
      </c>
    </row>
    <row r="78" spans="1:7" s="11" customFormat="1" ht="30.75">
      <c r="A78" s="52" t="s">
        <v>125</v>
      </c>
      <c r="B78" s="14" t="s">
        <v>383</v>
      </c>
      <c r="C78" s="14" t="s">
        <v>390</v>
      </c>
      <c r="D78" s="14" t="s">
        <v>392</v>
      </c>
      <c r="E78" s="42" t="s">
        <v>183</v>
      </c>
      <c r="F78" s="14" t="s">
        <v>126</v>
      </c>
      <c r="G78" s="43">
        <f>330.8-320-1.8-1.5</f>
        <v>7.500000000000011</v>
      </c>
    </row>
    <row r="79" spans="1:7" s="11" customFormat="1" ht="32.25" customHeight="1">
      <c r="A79" s="54" t="s">
        <v>184</v>
      </c>
      <c r="B79" s="14" t="s">
        <v>383</v>
      </c>
      <c r="C79" s="14" t="s">
        <v>390</v>
      </c>
      <c r="D79" s="14" t="s">
        <v>392</v>
      </c>
      <c r="E79" s="42" t="s">
        <v>185</v>
      </c>
      <c r="F79" s="1"/>
      <c r="G79" s="17">
        <f>G80</f>
        <v>33.099999999999994</v>
      </c>
    </row>
    <row r="80" spans="1:7" s="11" customFormat="1" ht="15">
      <c r="A80" s="52" t="s">
        <v>123</v>
      </c>
      <c r="B80" s="14" t="s">
        <v>383</v>
      </c>
      <c r="C80" s="14" t="s">
        <v>390</v>
      </c>
      <c r="D80" s="14" t="s">
        <v>392</v>
      </c>
      <c r="E80" s="42" t="s">
        <v>185</v>
      </c>
      <c r="F80" s="14" t="s">
        <v>124</v>
      </c>
      <c r="G80" s="43">
        <f>G81</f>
        <v>33.099999999999994</v>
      </c>
    </row>
    <row r="81" spans="1:7" s="11" customFormat="1" ht="30.75">
      <c r="A81" s="52" t="s">
        <v>125</v>
      </c>
      <c r="B81" s="14" t="s">
        <v>383</v>
      </c>
      <c r="C81" s="14" t="s">
        <v>390</v>
      </c>
      <c r="D81" s="14" t="s">
        <v>392</v>
      </c>
      <c r="E81" s="42" t="s">
        <v>185</v>
      </c>
      <c r="F81" s="14" t="s">
        <v>126</v>
      </c>
      <c r="G81" s="43">
        <f>92.3-66.2-13+70+1.5-76+57-32.5</f>
        <v>33.099999999999994</v>
      </c>
    </row>
    <row r="82" spans="1:7" s="11" customFormat="1" ht="15">
      <c r="A82" s="55" t="s">
        <v>186</v>
      </c>
      <c r="B82" s="14" t="s">
        <v>383</v>
      </c>
      <c r="C82" s="14" t="s">
        <v>390</v>
      </c>
      <c r="D82" s="14" t="s">
        <v>393</v>
      </c>
      <c r="E82" s="42" t="s">
        <v>188</v>
      </c>
      <c r="F82" s="14"/>
      <c r="G82" s="43">
        <f>G83</f>
        <v>132.2</v>
      </c>
    </row>
    <row r="83" spans="1:7" s="11" customFormat="1" ht="15">
      <c r="A83" s="52" t="s">
        <v>123</v>
      </c>
      <c r="B83" s="14" t="s">
        <v>383</v>
      </c>
      <c r="C83" s="14" t="s">
        <v>390</v>
      </c>
      <c r="D83" s="14" t="s">
        <v>393</v>
      </c>
      <c r="E83" s="42" t="s">
        <v>188</v>
      </c>
      <c r="F83" s="14" t="s">
        <v>124</v>
      </c>
      <c r="G83" s="43">
        <f>G84</f>
        <v>132.2</v>
      </c>
    </row>
    <row r="84" spans="1:7" s="11" customFormat="1" ht="21" customHeight="1">
      <c r="A84" s="52" t="s">
        <v>125</v>
      </c>
      <c r="B84" s="14" t="s">
        <v>383</v>
      </c>
      <c r="C84" s="14" t="s">
        <v>390</v>
      </c>
      <c r="D84" s="14" t="s">
        <v>393</v>
      </c>
      <c r="E84" s="42" t="s">
        <v>188</v>
      </c>
      <c r="F84" s="14" t="s">
        <v>126</v>
      </c>
      <c r="G84" s="43">
        <f>99.7+32.5</f>
        <v>132.2</v>
      </c>
    </row>
    <row r="85" spans="1:7" s="11" customFormat="1" ht="38.25" customHeight="1">
      <c r="A85" s="55" t="s">
        <v>189</v>
      </c>
      <c r="B85" s="14" t="s">
        <v>383</v>
      </c>
      <c r="C85" s="14" t="s">
        <v>390</v>
      </c>
      <c r="D85" s="14" t="s">
        <v>393</v>
      </c>
      <c r="E85" s="42" t="s">
        <v>394</v>
      </c>
      <c r="F85" s="14"/>
      <c r="G85" s="43">
        <f>G86</f>
        <v>53.3</v>
      </c>
    </row>
    <row r="86" spans="1:7" s="11" customFormat="1" ht="15">
      <c r="A86" s="52" t="s">
        <v>123</v>
      </c>
      <c r="B86" s="14" t="s">
        <v>383</v>
      </c>
      <c r="C86" s="14" t="s">
        <v>390</v>
      </c>
      <c r="D86" s="14" t="s">
        <v>393</v>
      </c>
      <c r="E86" s="42" t="s">
        <v>394</v>
      </c>
      <c r="F86" s="14" t="s">
        <v>124</v>
      </c>
      <c r="G86" s="43">
        <f>G87</f>
        <v>53.3</v>
      </c>
    </row>
    <row r="87" spans="1:7" s="11" customFormat="1" ht="30.75">
      <c r="A87" s="52" t="s">
        <v>125</v>
      </c>
      <c r="B87" s="14" t="s">
        <v>383</v>
      </c>
      <c r="C87" s="14" t="s">
        <v>390</v>
      </c>
      <c r="D87" s="14" t="s">
        <v>393</v>
      </c>
      <c r="E87" s="42" t="s">
        <v>394</v>
      </c>
      <c r="F87" s="14" t="s">
        <v>126</v>
      </c>
      <c r="G87" s="43">
        <f>84+39.3-70</f>
        <v>53.3</v>
      </c>
    </row>
    <row r="88" spans="1:10" s="11" customFormat="1" ht="15.75">
      <c r="A88" s="46" t="s">
        <v>191</v>
      </c>
      <c r="B88" s="14" t="s">
        <v>383</v>
      </c>
      <c r="C88" s="14" t="s">
        <v>386</v>
      </c>
      <c r="D88" s="14"/>
      <c r="E88" s="34"/>
      <c r="F88" s="84"/>
      <c r="G88" s="53">
        <f>G89+G112+G120</f>
        <v>98634.72059999999</v>
      </c>
      <c r="J88" s="49"/>
    </row>
    <row r="89" spans="1:7" s="11" customFormat="1" ht="15.75">
      <c r="A89" s="56" t="s">
        <v>193</v>
      </c>
      <c r="B89" s="14" t="s">
        <v>383</v>
      </c>
      <c r="C89" s="14" t="s">
        <v>386</v>
      </c>
      <c r="D89" s="14" t="s">
        <v>392</v>
      </c>
      <c r="E89" s="34"/>
      <c r="F89" s="84"/>
      <c r="G89" s="53">
        <f>G90+G102</f>
        <v>98173.72059999999</v>
      </c>
    </row>
    <row r="90" spans="1:7" s="11" customFormat="1" ht="46.5">
      <c r="A90" s="15" t="s">
        <v>195</v>
      </c>
      <c r="B90" s="14" t="s">
        <v>383</v>
      </c>
      <c r="C90" s="14" t="s">
        <v>386</v>
      </c>
      <c r="D90" s="14" t="s">
        <v>392</v>
      </c>
      <c r="E90" s="42" t="s">
        <v>196</v>
      </c>
      <c r="F90" s="84"/>
      <c r="G90" s="13">
        <f>G91</f>
        <v>86175.75999999998</v>
      </c>
    </row>
    <row r="91" spans="1:7" s="11" customFormat="1" ht="15.75">
      <c r="A91" s="54" t="s">
        <v>197</v>
      </c>
      <c r="B91" s="14" t="s">
        <v>383</v>
      </c>
      <c r="C91" s="14" t="s">
        <v>386</v>
      </c>
      <c r="D91" s="14" t="s">
        <v>392</v>
      </c>
      <c r="E91" s="42" t="s">
        <v>199</v>
      </c>
      <c r="F91" s="84"/>
      <c r="G91" s="43">
        <f>G92+G96+G99+G94</f>
        <v>86175.75999999998</v>
      </c>
    </row>
    <row r="92" spans="1:7" s="11" customFormat="1" ht="15">
      <c r="A92" s="52" t="s">
        <v>198</v>
      </c>
      <c r="B92" s="14" t="s">
        <v>383</v>
      </c>
      <c r="C92" s="14" t="s">
        <v>386</v>
      </c>
      <c r="D92" s="14" t="s">
        <v>392</v>
      </c>
      <c r="E92" s="42" t="s">
        <v>199</v>
      </c>
      <c r="F92" s="14" t="s">
        <v>124</v>
      </c>
      <c r="G92" s="43">
        <f>G93</f>
        <v>45723.79999999999</v>
      </c>
    </row>
    <row r="93" spans="1:7" s="11" customFormat="1" ht="15">
      <c r="A93" s="52" t="s">
        <v>123</v>
      </c>
      <c r="B93" s="14" t="s">
        <v>383</v>
      </c>
      <c r="C93" s="14" t="s">
        <v>386</v>
      </c>
      <c r="D93" s="14" t="s">
        <v>392</v>
      </c>
      <c r="E93" s="42" t="s">
        <v>199</v>
      </c>
      <c r="F93" s="14" t="s">
        <v>126</v>
      </c>
      <c r="G93" s="43">
        <f>15135.7-700-1324.4-6100.6+200+120+2035.3+50000+15976.9-8610.8-9478.4-500-8771.9-1638-70-500-50</f>
        <v>45723.79999999999</v>
      </c>
    </row>
    <row r="94" spans="1:7" s="11" customFormat="1" ht="15">
      <c r="A94" s="52" t="s">
        <v>127</v>
      </c>
      <c r="B94" s="14" t="s">
        <v>383</v>
      </c>
      <c r="C94" s="14" t="s">
        <v>386</v>
      </c>
      <c r="D94" s="14" t="s">
        <v>392</v>
      </c>
      <c r="E94" s="42" t="s">
        <v>199</v>
      </c>
      <c r="F94" s="14" t="s">
        <v>128</v>
      </c>
      <c r="G94" s="43">
        <f>G95</f>
        <v>200</v>
      </c>
    </row>
    <row r="95" spans="1:7" s="11" customFormat="1" ht="15">
      <c r="A95" s="52" t="s">
        <v>129</v>
      </c>
      <c r="B95" s="14" t="s">
        <v>383</v>
      </c>
      <c r="C95" s="14" t="s">
        <v>386</v>
      </c>
      <c r="D95" s="14" t="s">
        <v>392</v>
      </c>
      <c r="E95" s="42" t="s">
        <v>199</v>
      </c>
      <c r="F95" s="14" t="s">
        <v>130</v>
      </c>
      <c r="G95" s="43">
        <v>200</v>
      </c>
    </row>
    <row r="96" spans="1:13" s="66" customFormat="1" ht="15.75">
      <c r="A96" s="52" t="s">
        <v>200</v>
      </c>
      <c r="B96" s="14" t="s">
        <v>383</v>
      </c>
      <c r="C96" s="14" t="s">
        <v>386</v>
      </c>
      <c r="D96" s="14" t="s">
        <v>392</v>
      </c>
      <c r="E96" s="42" t="s">
        <v>201</v>
      </c>
      <c r="F96" s="14"/>
      <c r="G96" s="51">
        <f>G97</f>
        <v>28534.76</v>
      </c>
      <c r="M96" s="11"/>
    </row>
    <row r="97" spans="1:7" s="11" customFormat="1" ht="15">
      <c r="A97" s="52" t="s">
        <v>123</v>
      </c>
      <c r="B97" s="14" t="s">
        <v>383</v>
      </c>
      <c r="C97" s="14" t="s">
        <v>386</v>
      </c>
      <c r="D97" s="14" t="s">
        <v>392</v>
      </c>
      <c r="E97" s="42" t="s">
        <v>201</v>
      </c>
      <c r="F97" s="14" t="s">
        <v>124</v>
      </c>
      <c r="G97" s="51">
        <f>G98</f>
        <v>28534.76</v>
      </c>
    </row>
    <row r="98" spans="1:7" s="11" customFormat="1" ht="23.25" customHeight="1">
      <c r="A98" s="52" t="s">
        <v>125</v>
      </c>
      <c r="B98" s="14" t="s">
        <v>383</v>
      </c>
      <c r="C98" s="14" t="s">
        <v>386</v>
      </c>
      <c r="D98" s="14" t="s">
        <v>392</v>
      </c>
      <c r="E98" s="42" t="s">
        <v>201</v>
      </c>
      <c r="F98" s="14" t="s">
        <v>126</v>
      </c>
      <c r="G98" s="51">
        <f>28019.1-2730+2877.73+546.73-78.8-100</f>
        <v>28534.76</v>
      </c>
    </row>
    <row r="99" spans="1:7" s="11" customFormat="1" ht="63" customHeight="1">
      <c r="A99" s="52" t="s">
        <v>202</v>
      </c>
      <c r="B99" s="14" t="s">
        <v>383</v>
      </c>
      <c r="C99" s="14" t="s">
        <v>386</v>
      </c>
      <c r="D99" s="14" t="s">
        <v>392</v>
      </c>
      <c r="E99" s="42" t="s">
        <v>203</v>
      </c>
      <c r="F99" s="45"/>
      <c r="G99" s="43">
        <f>G100</f>
        <v>11717.2</v>
      </c>
    </row>
    <row r="100" spans="1:7" s="11" customFormat="1" ht="23.25" customHeight="1">
      <c r="A100" s="52" t="s">
        <v>123</v>
      </c>
      <c r="B100" s="14" t="s">
        <v>383</v>
      </c>
      <c r="C100" s="14" t="s">
        <v>386</v>
      </c>
      <c r="D100" s="14" t="s">
        <v>392</v>
      </c>
      <c r="E100" s="42" t="s">
        <v>203</v>
      </c>
      <c r="F100" s="45" t="s">
        <v>124</v>
      </c>
      <c r="G100" s="43">
        <f>G101</f>
        <v>11717.2</v>
      </c>
    </row>
    <row r="101" spans="1:7" s="11" customFormat="1" ht="23.25" customHeight="1">
      <c r="A101" s="52" t="s">
        <v>125</v>
      </c>
      <c r="B101" s="14" t="s">
        <v>383</v>
      </c>
      <c r="C101" s="14" t="s">
        <v>386</v>
      </c>
      <c r="D101" s="14" t="s">
        <v>392</v>
      </c>
      <c r="E101" s="42" t="s">
        <v>203</v>
      </c>
      <c r="F101" s="45" t="s">
        <v>126</v>
      </c>
      <c r="G101" s="43">
        <f>11410+649.2-342</f>
        <v>11717.2</v>
      </c>
    </row>
    <row r="102" spans="1:7" s="11" customFormat="1" ht="46.5">
      <c r="A102" s="52" t="s">
        <v>204</v>
      </c>
      <c r="B102" s="14" t="s">
        <v>383</v>
      </c>
      <c r="C102" s="14" t="s">
        <v>386</v>
      </c>
      <c r="D102" s="14" t="s">
        <v>392</v>
      </c>
      <c r="E102" s="45" t="s">
        <v>205</v>
      </c>
      <c r="F102" s="45"/>
      <c r="G102" s="43">
        <f>G103</f>
        <v>11997.9606</v>
      </c>
    </row>
    <row r="103" spans="1:7" s="11" customFormat="1" ht="15">
      <c r="A103" s="52" t="s">
        <v>206</v>
      </c>
      <c r="B103" s="14" t="s">
        <v>383</v>
      </c>
      <c r="C103" s="14" t="s">
        <v>386</v>
      </c>
      <c r="D103" s="14" t="s">
        <v>392</v>
      </c>
      <c r="E103" s="45" t="s">
        <v>207</v>
      </c>
      <c r="F103" s="45"/>
      <c r="G103" s="43">
        <f>G104</f>
        <v>11997.9606</v>
      </c>
    </row>
    <row r="104" spans="1:7" s="11" customFormat="1" ht="15">
      <c r="A104" s="57" t="s">
        <v>208</v>
      </c>
      <c r="B104" s="14" t="s">
        <v>383</v>
      </c>
      <c r="C104" s="14" t="s">
        <v>386</v>
      </c>
      <c r="D104" s="14" t="s">
        <v>392</v>
      </c>
      <c r="E104" s="45" t="s">
        <v>209</v>
      </c>
      <c r="F104" s="45"/>
      <c r="G104" s="43">
        <f>G105+G108</f>
        <v>11997.9606</v>
      </c>
    </row>
    <row r="105" spans="1:7" s="11" customFormat="1" ht="15">
      <c r="A105" s="52" t="s">
        <v>210</v>
      </c>
      <c r="B105" s="14" t="s">
        <v>383</v>
      </c>
      <c r="C105" s="14" t="s">
        <v>386</v>
      </c>
      <c r="D105" s="14" t="s">
        <v>392</v>
      </c>
      <c r="E105" s="45" t="s">
        <v>211</v>
      </c>
      <c r="F105" s="45"/>
      <c r="G105" s="43">
        <f>G106</f>
        <v>4968.2706</v>
      </c>
    </row>
    <row r="106" spans="1:7" s="11" customFormat="1" ht="15">
      <c r="A106" s="52" t="s">
        <v>123</v>
      </c>
      <c r="B106" s="14" t="s">
        <v>383</v>
      </c>
      <c r="C106" s="14" t="s">
        <v>386</v>
      </c>
      <c r="D106" s="14" t="s">
        <v>392</v>
      </c>
      <c r="E106" s="45" t="s">
        <v>211</v>
      </c>
      <c r="F106" s="45" t="s">
        <v>124</v>
      </c>
      <c r="G106" s="43">
        <f>G107</f>
        <v>4968.2706</v>
      </c>
    </row>
    <row r="107" spans="1:7" s="11" customFormat="1" ht="30.75">
      <c r="A107" s="52" t="s">
        <v>125</v>
      </c>
      <c r="B107" s="14" t="s">
        <v>383</v>
      </c>
      <c r="C107" s="14" t="s">
        <v>386</v>
      </c>
      <c r="D107" s="14" t="s">
        <v>392</v>
      </c>
      <c r="E107" s="45" t="s">
        <v>211</v>
      </c>
      <c r="F107" s="45" t="s">
        <v>126</v>
      </c>
      <c r="G107" s="43">
        <f>800+4500-331.7294</f>
        <v>4968.2706</v>
      </c>
    </row>
    <row r="108" spans="1:7" s="11" customFormat="1" ht="15">
      <c r="A108" s="52" t="s">
        <v>212</v>
      </c>
      <c r="B108" s="14" t="s">
        <v>383</v>
      </c>
      <c r="C108" s="14" t="s">
        <v>386</v>
      </c>
      <c r="D108" s="14" t="s">
        <v>392</v>
      </c>
      <c r="E108" s="45" t="s">
        <v>214</v>
      </c>
      <c r="F108" s="45"/>
      <c r="G108" s="43">
        <f>G109</f>
        <v>7029.6900000000005</v>
      </c>
    </row>
    <row r="109" spans="1:7" s="11" customFormat="1" ht="15">
      <c r="A109" s="52" t="s">
        <v>215</v>
      </c>
      <c r="B109" s="14" t="s">
        <v>383</v>
      </c>
      <c r="C109" s="14" t="s">
        <v>386</v>
      </c>
      <c r="D109" s="14" t="s">
        <v>392</v>
      </c>
      <c r="E109" s="45" t="s">
        <v>216</v>
      </c>
      <c r="F109" s="45"/>
      <c r="G109" s="43">
        <f>G110</f>
        <v>7029.6900000000005</v>
      </c>
    </row>
    <row r="110" spans="1:7" s="11" customFormat="1" ht="15">
      <c r="A110" s="52" t="s">
        <v>123</v>
      </c>
      <c r="B110" s="14" t="s">
        <v>383</v>
      </c>
      <c r="C110" s="14" t="s">
        <v>386</v>
      </c>
      <c r="D110" s="14" t="s">
        <v>392</v>
      </c>
      <c r="E110" s="45" t="s">
        <v>216</v>
      </c>
      <c r="F110" s="45" t="s">
        <v>124</v>
      </c>
      <c r="G110" s="43">
        <f>G111</f>
        <v>7029.6900000000005</v>
      </c>
    </row>
    <row r="111" spans="1:7" s="11" customFormat="1" ht="30.75">
      <c r="A111" s="52" t="s">
        <v>125</v>
      </c>
      <c r="B111" s="14" t="s">
        <v>383</v>
      </c>
      <c r="C111" s="14" t="s">
        <v>386</v>
      </c>
      <c r="D111" s="14" t="s">
        <v>392</v>
      </c>
      <c r="E111" s="45" t="s">
        <v>216</v>
      </c>
      <c r="F111" s="45" t="s">
        <v>126</v>
      </c>
      <c r="G111" s="43">
        <f>2759.13+2962.46+1308.1</f>
        <v>7029.6900000000005</v>
      </c>
    </row>
    <row r="112" spans="1:7" s="11" customFormat="1" ht="15.75">
      <c r="A112" s="46" t="s">
        <v>217</v>
      </c>
      <c r="B112" s="14" t="s">
        <v>383</v>
      </c>
      <c r="C112" s="14" t="s">
        <v>386</v>
      </c>
      <c r="D112" s="14" t="s">
        <v>395</v>
      </c>
      <c r="E112" s="34"/>
      <c r="F112" s="45"/>
      <c r="G112" s="43">
        <f>G114</f>
        <v>261</v>
      </c>
    </row>
    <row r="113" spans="1:7" s="11" customFormat="1" ht="46.5">
      <c r="A113" s="52" t="s">
        <v>204</v>
      </c>
      <c r="B113" s="14" t="s">
        <v>383</v>
      </c>
      <c r="C113" s="14" t="s">
        <v>386</v>
      </c>
      <c r="D113" s="14" t="s">
        <v>395</v>
      </c>
      <c r="E113" s="45" t="s">
        <v>205</v>
      </c>
      <c r="F113" s="45"/>
      <c r="G113" s="43">
        <f aca="true" t="shared" si="0" ref="G113:G118">G114</f>
        <v>261</v>
      </c>
    </row>
    <row r="114" spans="1:7" s="11" customFormat="1" ht="15">
      <c r="A114" s="52" t="s">
        <v>219</v>
      </c>
      <c r="B114" s="14" t="s">
        <v>383</v>
      </c>
      <c r="C114" s="14" t="s">
        <v>386</v>
      </c>
      <c r="D114" s="14" t="s">
        <v>395</v>
      </c>
      <c r="E114" s="45" t="s">
        <v>220</v>
      </c>
      <c r="F114" s="45"/>
      <c r="G114" s="43">
        <f t="shared" si="0"/>
        <v>261</v>
      </c>
    </row>
    <row r="115" spans="1:7" s="11" customFormat="1" ht="30.75">
      <c r="A115" s="57" t="s">
        <v>221</v>
      </c>
      <c r="B115" s="14" t="s">
        <v>383</v>
      </c>
      <c r="C115" s="14" t="s">
        <v>386</v>
      </c>
      <c r="D115" s="14" t="s">
        <v>395</v>
      </c>
      <c r="E115" s="45" t="s">
        <v>220</v>
      </c>
      <c r="F115" s="45"/>
      <c r="G115" s="43">
        <f t="shared" si="0"/>
        <v>261</v>
      </c>
    </row>
    <row r="116" spans="1:7" s="11" customFormat="1" ht="30.75">
      <c r="A116" s="52" t="s">
        <v>223</v>
      </c>
      <c r="B116" s="14" t="s">
        <v>383</v>
      </c>
      <c r="C116" s="14" t="s">
        <v>386</v>
      </c>
      <c r="D116" s="14" t="s">
        <v>395</v>
      </c>
      <c r="E116" s="45" t="s">
        <v>224</v>
      </c>
      <c r="F116" s="45"/>
      <c r="G116" s="43">
        <f t="shared" si="0"/>
        <v>261</v>
      </c>
    </row>
    <row r="117" spans="1:7" s="11" customFormat="1" ht="30.75">
      <c r="A117" s="52" t="s">
        <v>225</v>
      </c>
      <c r="B117" s="14" t="s">
        <v>383</v>
      </c>
      <c r="C117" s="14" t="s">
        <v>386</v>
      </c>
      <c r="D117" s="14" t="s">
        <v>395</v>
      </c>
      <c r="E117" s="45" t="s">
        <v>226</v>
      </c>
      <c r="F117" s="45"/>
      <c r="G117" s="43">
        <f t="shared" si="0"/>
        <v>261</v>
      </c>
    </row>
    <row r="118" spans="1:7" s="11" customFormat="1" ht="30.75">
      <c r="A118" s="15" t="s">
        <v>123</v>
      </c>
      <c r="B118" s="14" t="s">
        <v>383</v>
      </c>
      <c r="C118" s="14" t="s">
        <v>386</v>
      </c>
      <c r="D118" s="14" t="s">
        <v>395</v>
      </c>
      <c r="E118" s="45" t="s">
        <v>226</v>
      </c>
      <c r="F118" s="45" t="s">
        <v>124</v>
      </c>
      <c r="G118" s="43">
        <f t="shared" si="0"/>
        <v>261</v>
      </c>
    </row>
    <row r="119" spans="1:7" s="11" customFormat="1" ht="30.75">
      <c r="A119" s="15" t="s">
        <v>125</v>
      </c>
      <c r="B119" s="14" t="s">
        <v>383</v>
      </c>
      <c r="C119" s="14" t="s">
        <v>386</v>
      </c>
      <c r="D119" s="14" t="s">
        <v>395</v>
      </c>
      <c r="E119" s="45" t="s">
        <v>226</v>
      </c>
      <c r="F119" s="45" t="s">
        <v>126</v>
      </c>
      <c r="G119" s="43">
        <f>214+47</f>
        <v>261</v>
      </c>
    </row>
    <row r="120" spans="1:7" s="11" customFormat="1" ht="15.75">
      <c r="A120" s="46" t="s">
        <v>227</v>
      </c>
      <c r="B120" s="14" t="s">
        <v>383</v>
      </c>
      <c r="C120" s="14" t="s">
        <v>386</v>
      </c>
      <c r="D120" s="14" t="s">
        <v>396</v>
      </c>
      <c r="E120" s="34"/>
      <c r="F120" s="14"/>
      <c r="G120" s="73">
        <f>G121</f>
        <v>200</v>
      </c>
    </row>
    <row r="121" spans="1:7" s="11" customFormat="1" ht="30.75">
      <c r="A121" s="15" t="s">
        <v>158</v>
      </c>
      <c r="B121" s="14" t="s">
        <v>383</v>
      </c>
      <c r="C121" s="14" t="s">
        <v>386</v>
      </c>
      <c r="D121" s="14" t="s">
        <v>396</v>
      </c>
      <c r="E121" s="45" t="s">
        <v>229</v>
      </c>
      <c r="F121" s="14"/>
      <c r="G121" s="51">
        <f>G122</f>
        <v>200</v>
      </c>
    </row>
    <row r="122" spans="1:7" s="11" customFormat="1" ht="15">
      <c r="A122" s="41" t="s">
        <v>230</v>
      </c>
      <c r="B122" s="14" t="s">
        <v>383</v>
      </c>
      <c r="C122" s="14" t="s">
        <v>386</v>
      </c>
      <c r="D122" s="14" t="s">
        <v>396</v>
      </c>
      <c r="E122" s="45" t="s">
        <v>231</v>
      </c>
      <c r="F122" s="14"/>
      <c r="G122" s="51">
        <f>G123</f>
        <v>200</v>
      </c>
    </row>
    <row r="123" spans="1:7" s="11" customFormat="1" ht="15">
      <c r="A123" s="15" t="s">
        <v>123</v>
      </c>
      <c r="B123" s="14" t="s">
        <v>383</v>
      </c>
      <c r="C123" s="14" t="s">
        <v>386</v>
      </c>
      <c r="D123" s="14" t="s">
        <v>396</v>
      </c>
      <c r="E123" s="45" t="s">
        <v>231</v>
      </c>
      <c r="F123" s="14" t="s">
        <v>124</v>
      </c>
      <c r="G123" s="51">
        <f>G124</f>
        <v>200</v>
      </c>
    </row>
    <row r="124" spans="1:7" s="11" customFormat="1" ht="30.75">
      <c r="A124" s="15" t="s">
        <v>125</v>
      </c>
      <c r="B124" s="14" t="s">
        <v>383</v>
      </c>
      <c r="C124" s="14" t="s">
        <v>386</v>
      </c>
      <c r="D124" s="14" t="s">
        <v>396</v>
      </c>
      <c r="E124" s="45" t="s">
        <v>231</v>
      </c>
      <c r="F124" s="14" t="s">
        <v>126</v>
      </c>
      <c r="G124" s="51">
        <v>200</v>
      </c>
    </row>
    <row r="125" spans="1:10" s="40" customFormat="1" ht="15.75">
      <c r="A125" s="46" t="s">
        <v>232</v>
      </c>
      <c r="B125" s="14" t="s">
        <v>383</v>
      </c>
      <c r="C125" s="14" t="s">
        <v>397</v>
      </c>
      <c r="D125" s="14"/>
      <c r="E125" s="34"/>
      <c r="F125" s="84"/>
      <c r="G125" s="63">
        <f>G126+G160+G170</f>
        <v>197838.8592</v>
      </c>
      <c r="H125" s="87"/>
      <c r="J125" s="87"/>
    </row>
    <row r="126" spans="1:7" s="40" customFormat="1" ht="15.75">
      <c r="A126" s="56" t="s">
        <v>234</v>
      </c>
      <c r="B126" s="14" t="s">
        <v>383</v>
      </c>
      <c r="C126" s="14" t="s">
        <v>397</v>
      </c>
      <c r="D126" s="14" t="s">
        <v>384</v>
      </c>
      <c r="E126" s="34"/>
      <c r="F126" s="84"/>
      <c r="G126" s="63">
        <f>G127+G137+G156</f>
        <v>77326.68455</v>
      </c>
    </row>
    <row r="127" spans="1:7" s="40" customFormat="1" ht="46.5">
      <c r="A127" s="15" t="s">
        <v>236</v>
      </c>
      <c r="B127" s="14" t="s">
        <v>383</v>
      </c>
      <c r="C127" s="14" t="s">
        <v>397</v>
      </c>
      <c r="D127" s="14" t="s">
        <v>384</v>
      </c>
      <c r="E127" s="45" t="s">
        <v>237</v>
      </c>
      <c r="F127" s="84"/>
      <c r="G127" s="51">
        <f>G134+G131</f>
        <v>62177.73706</v>
      </c>
    </row>
    <row r="128" spans="1:7" s="40" customFormat="1" ht="30.75" hidden="1">
      <c r="A128" s="52" t="s">
        <v>238</v>
      </c>
      <c r="B128" s="14" t="s">
        <v>383</v>
      </c>
      <c r="C128" s="14" t="s">
        <v>397</v>
      </c>
      <c r="D128" s="14" t="s">
        <v>384</v>
      </c>
      <c r="E128" s="45" t="s">
        <v>239</v>
      </c>
      <c r="F128" s="45"/>
      <c r="G128" s="51">
        <f>G129</f>
        <v>0</v>
      </c>
    </row>
    <row r="129" spans="1:7" s="40" customFormat="1" ht="15" hidden="1">
      <c r="A129" s="15" t="s">
        <v>123</v>
      </c>
      <c r="B129" s="14" t="s">
        <v>383</v>
      </c>
      <c r="C129" s="14" t="s">
        <v>397</v>
      </c>
      <c r="D129" s="14" t="s">
        <v>384</v>
      </c>
      <c r="E129" s="45" t="s">
        <v>239</v>
      </c>
      <c r="F129" s="45" t="s">
        <v>126</v>
      </c>
      <c r="G129" s="51">
        <f>G130</f>
        <v>0</v>
      </c>
    </row>
    <row r="130" spans="1:7" s="40" customFormat="1" ht="30.75" hidden="1">
      <c r="A130" s="15" t="s">
        <v>125</v>
      </c>
      <c r="B130" s="14" t="s">
        <v>383</v>
      </c>
      <c r="C130" s="14" t="s">
        <v>397</v>
      </c>
      <c r="D130" s="14" t="s">
        <v>384</v>
      </c>
      <c r="E130" s="45" t="s">
        <v>239</v>
      </c>
      <c r="F130" s="45" t="s">
        <v>126</v>
      </c>
      <c r="G130" s="51">
        <v>0</v>
      </c>
    </row>
    <row r="131" spans="1:7" s="40" customFormat="1" ht="78">
      <c r="A131" s="52" t="s">
        <v>240</v>
      </c>
      <c r="B131" s="14" t="s">
        <v>383</v>
      </c>
      <c r="C131" s="14" t="s">
        <v>397</v>
      </c>
      <c r="D131" s="14" t="s">
        <v>384</v>
      </c>
      <c r="E131" s="45" t="s">
        <v>239</v>
      </c>
      <c r="F131" s="45"/>
      <c r="G131" s="51">
        <f>G132</f>
        <v>60177.73706</v>
      </c>
    </row>
    <row r="132" spans="1:7" s="40" customFormat="1" ht="15">
      <c r="A132" s="15" t="s">
        <v>123</v>
      </c>
      <c r="B132" s="14" t="s">
        <v>383</v>
      </c>
      <c r="C132" s="14" t="s">
        <v>397</v>
      </c>
      <c r="D132" s="14" t="s">
        <v>384</v>
      </c>
      <c r="E132" s="45" t="s">
        <v>239</v>
      </c>
      <c r="F132" s="45" t="s">
        <v>126</v>
      </c>
      <c r="G132" s="51">
        <f>G133</f>
        <v>60177.73706</v>
      </c>
    </row>
    <row r="133" spans="1:8" s="40" customFormat="1" ht="30.75">
      <c r="A133" s="15" t="s">
        <v>125</v>
      </c>
      <c r="B133" s="14" t="s">
        <v>383</v>
      </c>
      <c r="C133" s="14" t="s">
        <v>397</v>
      </c>
      <c r="D133" s="14" t="s">
        <v>384</v>
      </c>
      <c r="E133" s="45" t="s">
        <v>239</v>
      </c>
      <c r="F133" s="45" t="s">
        <v>126</v>
      </c>
      <c r="G133" s="51">
        <f>42956.33202+27997.62151-10776.21647</f>
        <v>60177.73706</v>
      </c>
      <c r="H133" s="11"/>
    </row>
    <row r="134" spans="1:8" s="40" customFormat="1" ht="78">
      <c r="A134" s="52" t="s">
        <v>398</v>
      </c>
      <c r="B134" s="14" t="s">
        <v>383</v>
      </c>
      <c r="C134" s="14" t="s">
        <v>397</v>
      </c>
      <c r="D134" s="14" t="s">
        <v>384</v>
      </c>
      <c r="E134" s="45" t="s">
        <v>242</v>
      </c>
      <c r="F134" s="45"/>
      <c r="G134" s="51">
        <f>G135</f>
        <v>2000</v>
      </c>
      <c r="H134" s="11"/>
    </row>
    <row r="135" spans="1:8" s="40" customFormat="1" ht="15">
      <c r="A135" s="15" t="s">
        <v>123</v>
      </c>
      <c r="B135" s="14" t="s">
        <v>383</v>
      </c>
      <c r="C135" s="14" t="s">
        <v>397</v>
      </c>
      <c r="D135" s="14" t="s">
        <v>384</v>
      </c>
      <c r="E135" s="45" t="s">
        <v>242</v>
      </c>
      <c r="F135" s="45" t="s">
        <v>126</v>
      </c>
      <c r="G135" s="51">
        <f>G136</f>
        <v>2000</v>
      </c>
      <c r="H135" s="11"/>
    </row>
    <row r="136" spans="1:8" s="40" customFormat="1" ht="30.75">
      <c r="A136" s="15" t="s">
        <v>125</v>
      </c>
      <c r="B136" s="14" t="s">
        <v>383</v>
      </c>
      <c r="C136" s="14" t="s">
        <v>397</v>
      </c>
      <c r="D136" s="14" t="s">
        <v>384</v>
      </c>
      <c r="E136" s="45" t="s">
        <v>242</v>
      </c>
      <c r="F136" s="45" t="s">
        <v>126</v>
      </c>
      <c r="G136" s="51">
        <f>7000-5000</f>
        <v>2000</v>
      </c>
      <c r="H136" s="11"/>
    </row>
    <row r="137" spans="1:7" s="40" customFormat="1" ht="46.5">
      <c r="A137" s="52" t="s">
        <v>204</v>
      </c>
      <c r="B137" s="14" t="s">
        <v>383</v>
      </c>
      <c r="C137" s="14" t="s">
        <v>397</v>
      </c>
      <c r="D137" s="14" t="s">
        <v>384</v>
      </c>
      <c r="E137" s="45" t="s">
        <v>205</v>
      </c>
      <c r="F137" s="45"/>
      <c r="G137" s="43">
        <f>G138</f>
        <v>15018.94749</v>
      </c>
    </row>
    <row r="138" spans="1:7" s="40" customFormat="1" ht="30.75">
      <c r="A138" s="52" t="s">
        <v>248</v>
      </c>
      <c r="B138" s="14" t="s">
        <v>383</v>
      </c>
      <c r="C138" s="14" t="s">
        <v>397</v>
      </c>
      <c r="D138" s="14" t="s">
        <v>384</v>
      </c>
      <c r="E138" s="45" t="s">
        <v>249</v>
      </c>
      <c r="F138" s="45"/>
      <c r="G138" s="43">
        <f>G139+G146+G153</f>
        <v>15018.94749</v>
      </c>
    </row>
    <row r="139" spans="1:7" s="40" customFormat="1" ht="30.75">
      <c r="A139" s="57" t="s">
        <v>250</v>
      </c>
      <c r="B139" s="14" t="s">
        <v>383</v>
      </c>
      <c r="C139" s="14" t="s">
        <v>397</v>
      </c>
      <c r="D139" s="14" t="s">
        <v>384</v>
      </c>
      <c r="E139" s="45" t="s">
        <v>251</v>
      </c>
      <c r="F139" s="45"/>
      <c r="G139" s="43">
        <f>G143+G140</f>
        <v>360.24</v>
      </c>
    </row>
    <row r="140" spans="1:7" s="40" customFormat="1" ht="46.5">
      <c r="A140" s="58" t="s">
        <v>399</v>
      </c>
      <c r="B140" s="14" t="s">
        <v>383</v>
      </c>
      <c r="C140" s="14" t="s">
        <v>397</v>
      </c>
      <c r="D140" s="14" t="s">
        <v>384</v>
      </c>
      <c r="E140" s="45" t="s">
        <v>253</v>
      </c>
      <c r="F140" s="45"/>
      <c r="G140" s="43">
        <f>G141</f>
        <v>295.76</v>
      </c>
    </row>
    <row r="141" spans="1:7" s="40" customFormat="1" ht="15">
      <c r="A141" s="52" t="s">
        <v>123</v>
      </c>
      <c r="B141" s="14" t="s">
        <v>383</v>
      </c>
      <c r="C141" s="14" t="s">
        <v>397</v>
      </c>
      <c r="D141" s="14" t="s">
        <v>384</v>
      </c>
      <c r="E141" s="45" t="s">
        <v>253</v>
      </c>
      <c r="F141" s="45" t="s">
        <v>128</v>
      </c>
      <c r="G141" s="43">
        <f>G142</f>
        <v>295.76</v>
      </c>
    </row>
    <row r="142" spans="1:7" s="40" customFormat="1" ht="30.75">
      <c r="A142" s="52" t="s">
        <v>125</v>
      </c>
      <c r="B142" s="14" t="s">
        <v>383</v>
      </c>
      <c r="C142" s="14" t="s">
        <v>397</v>
      </c>
      <c r="D142" s="14" t="s">
        <v>384</v>
      </c>
      <c r="E142" s="45" t="s">
        <v>253</v>
      </c>
      <c r="F142" s="45" t="s">
        <v>254</v>
      </c>
      <c r="G142" s="43">
        <v>295.76</v>
      </c>
    </row>
    <row r="143" spans="1:7" s="40" customFormat="1" ht="46.5">
      <c r="A143" s="58" t="s">
        <v>400</v>
      </c>
      <c r="B143" s="14" t="s">
        <v>383</v>
      </c>
      <c r="C143" s="14" t="s">
        <v>397</v>
      </c>
      <c r="D143" s="14" t="s">
        <v>384</v>
      </c>
      <c r="E143" s="45" t="s">
        <v>253</v>
      </c>
      <c r="F143" s="45"/>
      <c r="G143" s="43">
        <f>G144</f>
        <v>64.48</v>
      </c>
    </row>
    <row r="144" spans="1:7" s="40" customFormat="1" ht="15">
      <c r="A144" s="52" t="s">
        <v>123</v>
      </c>
      <c r="B144" s="14" t="s">
        <v>383</v>
      </c>
      <c r="C144" s="14" t="s">
        <v>397</v>
      </c>
      <c r="D144" s="14" t="s">
        <v>384</v>
      </c>
      <c r="E144" s="45" t="s">
        <v>253</v>
      </c>
      <c r="F144" s="45" t="s">
        <v>128</v>
      </c>
      <c r="G144" s="43">
        <f>G145</f>
        <v>64.48</v>
      </c>
    </row>
    <row r="145" spans="1:7" s="40" customFormat="1" ht="30.75">
      <c r="A145" s="52" t="s">
        <v>125</v>
      </c>
      <c r="B145" s="14" t="s">
        <v>383</v>
      </c>
      <c r="C145" s="14" t="s">
        <v>397</v>
      </c>
      <c r="D145" s="14" t="s">
        <v>384</v>
      </c>
      <c r="E145" s="45" t="s">
        <v>253</v>
      </c>
      <c r="F145" s="45" t="s">
        <v>254</v>
      </c>
      <c r="G145" s="43">
        <v>64.48</v>
      </c>
    </row>
    <row r="146" spans="1:7" s="40" customFormat="1" ht="46.5">
      <c r="A146" s="57" t="s">
        <v>255</v>
      </c>
      <c r="B146" s="14" t="s">
        <v>383</v>
      </c>
      <c r="C146" s="14" t="s">
        <v>397</v>
      </c>
      <c r="D146" s="14" t="s">
        <v>384</v>
      </c>
      <c r="E146" s="45" t="s">
        <v>256</v>
      </c>
      <c r="F146" s="45"/>
      <c r="G146" s="43">
        <f>G147+G150</f>
        <v>12108.70749</v>
      </c>
    </row>
    <row r="147" spans="1:7" s="40" customFormat="1" ht="30.75">
      <c r="A147" s="15" t="s">
        <v>257</v>
      </c>
      <c r="B147" s="14" t="s">
        <v>383</v>
      </c>
      <c r="C147" s="14" t="s">
        <v>397</v>
      </c>
      <c r="D147" s="14" t="s">
        <v>384</v>
      </c>
      <c r="E147" s="45" t="s">
        <v>258</v>
      </c>
      <c r="F147" s="45"/>
      <c r="G147" s="43">
        <f>G148</f>
        <v>4500</v>
      </c>
    </row>
    <row r="148" spans="1:7" s="40" customFormat="1" ht="15">
      <c r="A148" s="15" t="s">
        <v>123</v>
      </c>
      <c r="B148" s="14" t="s">
        <v>383</v>
      </c>
      <c r="C148" s="14" t="s">
        <v>397</v>
      </c>
      <c r="D148" s="14" t="s">
        <v>384</v>
      </c>
      <c r="E148" s="45" t="s">
        <v>258</v>
      </c>
      <c r="F148" s="45" t="s">
        <v>124</v>
      </c>
      <c r="G148" s="43">
        <f>G149</f>
        <v>4500</v>
      </c>
    </row>
    <row r="149" spans="1:7" s="40" customFormat="1" ht="30.75">
      <c r="A149" s="15" t="s">
        <v>125</v>
      </c>
      <c r="B149" s="14" t="s">
        <v>383</v>
      </c>
      <c r="C149" s="14" t="s">
        <v>397</v>
      </c>
      <c r="D149" s="14" t="s">
        <v>384</v>
      </c>
      <c r="E149" s="45" t="s">
        <v>258</v>
      </c>
      <c r="F149" s="45" t="s">
        <v>126</v>
      </c>
      <c r="G149" s="43">
        <v>4500</v>
      </c>
    </row>
    <row r="150" spans="1:7" s="40" customFormat="1" ht="15">
      <c r="A150" s="15" t="s">
        <v>259</v>
      </c>
      <c r="B150" s="14" t="s">
        <v>383</v>
      </c>
      <c r="C150" s="14" t="s">
        <v>397</v>
      </c>
      <c r="D150" s="14" t="s">
        <v>384</v>
      </c>
      <c r="E150" s="45" t="s">
        <v>258</v>
      </c>
      <c r="F150" s="45"/>
      <c r="G150" s="43">
        <f>G151</f>
        <v>7608.707490000001</v>
      </c>
    </row>
    <row r="151" spans="1:7" s="40" customFormat="1" ht="15">
      <c r="A151" s="15" t="s">
        <v>123</v>
      </c>
      <c r="B151" s="14" t="s">
        <v>383</v>
      </c>
      <c r="C151" s="14" t="s">
        <v>397</v>
      </c>
      <c r="D151" s="14" t="s">
        <v>384</v>
      </c>
      <c r="E151" s="45" t="s">
        <v>258</v>
      </c>
      <c r="F151" s="45" t="s">
        <v>124</v>
      </c>
      <c r="G151" s="43">
        <f>G152</f>
        <v>7608.707490000001</v>
      </c>
    </row>
    <row r="152" spans="1:7" s="40" customFormat="1" ht="30.75">
      <c r="A152" s="15" t="s">
        <v>125</v>
      </c>
      <c r="B152" s="14" t="s">
        <v>383</v>
      </c>
      <c r="C152" s="14" t="s">
        <v>397</v>
      </c>
      <c r="D152" s="14" t="s">
        <v>384</v>
      </c>
      <c r="E152" s="45" t="s">
        <v>258</v>
      </c>
      <c r="F152" s="45" t="s">
        <v>126</v>
      </c>
      <c r="G152" s="43">
        <f>700+2000+42.08385+776.9306+135+3954.69304</f>
        <v>7608.707490000001</v>
      </c>
    </row>
    <row r="153" spans="1:7" s="66" customFormat="1" ht="30.75">
      <c r="A153" s="59" t="s">
        <v>260</v>
      </c>
      <c r="B153" s="14" t="s">
        <v>383</v>
      </c>
      <c r="C153" s="14" t="s">
        <v>397</v>
      </c>
      <c r="D153" s="14" t="s">
        <v>384</v>
      </c>
      <c r="E153" s="45" t="s">
        <v>261</v>
      </c>
      <c r="F153" s="45"/>
      <c r="G153" s="43">
        <f>G154</f>
        <v>2550</v>
      </c>
    </row>
    <row r="154" spans="1:7" s="66" customFormat="1" ht="15.75">
      <c r="A154" s="52" t="s">
        <v>123</v>
      </c>
      <c r="B154" s="14" t="s">
        <v>383</v>
      </c>
      <c r="C154" s="14" t="s">
        <v>397</v>
      </c>
      <c r="D154" s="14" t="s">
        <v>384</v>
      </c>
      <c r="E154" s="45" t="s">
        <v>261</v>
      </c>
      <c r="F154" s="45" t="s">
        <v>124</v>
      </c>
      <c r="G154" s="43">
        <f>G155</f>
        <v>2550</v>
      </c>
    </row>
    <row r="155" spans="1:7" s="66" customFormat="1" ht="30.75">
      <c r="A155" s="15" t="s">
        <v>125</v>
      </c>
      <c r="B155" s="14" t="s">
        <v>383</v>
      </c>
      <c r="C155" s="14" t="s">
        <v>397</v>
      </c>
      <c r="D155" s="14" t="s">
        <v>384</v>
      </c>
      <c r="E155" s="45" t="s">
        <v>261</v>
      </c>
      <c r="F155" s="45" t="s">
        <v>126</v>
      </c>
      <c r="G155" s="43">
        <f>1800+750</f>
        <v>2550</v>
      </c>
    </row>
    <row r="156" spans="1:7" s="66" customFormat="1" ht="30.75">
      <c r="A156" s="15" t="s">
        <v>401</v>
      </c>
      <c r="B156" s="14" t="s">
        <v>383</v>
      </c>
      <c r="C156" s="14" t="s">
        <v>397</v>
      </c>
      <c r="D156" s="14" t="s">
        <v>384</v>
      </c>
      <c r="E156" s="45" t="s">
        <v>163</v>
      </c>
      <c r="F156" s="45"/>
      <c r="G156" s="43">
        <f>G157</f>
        <v>130</v>
      </c>
    </row>
    <row r="157" spans="1:7" s="66" customFormat="1" ht="30.75">
      <c r="A157" s="15" t="s">
        <v>262</v>
      </c>
      <c r="B157" s="14" t="s">
        <v>383</v>
      </c>
      <c r="C157" s="14" t="s">
        <v>397</v>
      </c>
      <c r="D157" s="14" t="s">
        <v>384</v>
      </c>
      <c r="E157" s="45" t="s">
        <v>263</v>
      </c>
      <c r="F157" s="45"/>
      <c r="G157" s="43">
        <f>G158</f>
        <v>130</v>
      </c>
    </row>
    <row r="158" spans="1:7" s="66" customFormat="1" ht="15.75">
      <c r="A158" s="52" t="s">
        <v>123</v>
      </c>
      <c r="B158" s="14" t="s">
        <v>383</v>
      </c>
      <c r="C158" s="14" t="s">
        <v>397</v>
      </c>
      <c r="D158" s="14" t="s">
        <v>384</v>
      </c>
      <c r="E158" s="45" t="s">
        <v>263</v>
      </c>
      <c r="F158" s="45" t="s">
        <v>124</v>
      </c>
      <c r="G158" s="43">
        <f>G159</f>
        <v>130</v>
      </c>
    </row>
    <row r="159" spans="1:7" s="66" customFormat="1" ht="30.75">
      <c r="A159" s="52" t="s">
        <v>125</v>
      </c>
      <c r="B159" s="14" t="s">
        <v>383</v>
      </c>
      <c r="C159" s="14" t="s">
        <v>397</v>
      </c>
      <c r="D159" s="14" t="s">
        <v>384</v>
      </c>
      <c r="E159" s="45" t="s">
        <v>263</v>
      </c>
      <c r="F159" s="45" t="s">
        <v>126</v>
      </c>
      <c r="G159" s="43">
        <f>150-20</f>
        <v>130</v>
      </c>
    </row>
    <row r="160" spans="1:7" s="11" customFormat="1" ht="15.75">
      <c r="A160" s="56" t="s">
        <v>264</v>
      </c>
      <c r="B160" s="14" t="s">
        <v>383</v>
      </c>
      <c r="C160" s="14" t="s">
        <v>397</v>
      </c>
      <c r="D160" s="14" t="s">
        <v>385</v>
      </c>
      <c r="E160" s="45"/>
      <c r="F160" s="14"/>
      <c r="G160" s="73">
        <f>G161</f>
        <v>48159.4</v>
      </c>
    </row>
    <row r="161" spans="1:7" s="11" customFormat="1" ht="36" customHeight="1">
      <c r="A161" s="15" t="s">
        <v>266</v>
      </c>
      <c r="B161" s="14" t="s">
        <v>383</v>
      </c>
      <c r="C161" s="14" t="s">
        <v>397</v>
      </c>
      <c r="D161" s="14" t="s">
        <v>385</v>
      </c>
      <c r="E161" s="42" t="s">
        <v>267</v>
      </c>
      <c r="F161" s="1"/>
      <c r="G161" s="51">
        <f>G162+G164+G167</f>
        <v>48159.4</v>
      </c>
    </row>
    <row r="162" spans="1:7" s="11" customFormat="1" ht="15">
      <c r="A162" s="52" t="s">
        <v>123</v>
      </c>
      <c r="B162" s="14" t="s">
        <v>383</v>
      </c>
      <c r="C162" s="14" t="s">
        <v>397</v>
      </c>
      <c r="D162" s="14" t="s">
        <v>385</v>
      </c>
      <c r="E162" s="42" t="s">
        <v>268</v>
      </c>
      <c r="F162" s="14" t="s">
        <v>124</v>
      </c>
      <c r="G162" s="51">
        <f>G163</f>
        <v>14559.4</v>
      </c>
    </row>
    <row r="163" spans="1:7" s="11" customFormat="1" ht="23.25" customHeight="1">
      <c r="A163" s="15" t="s">
        <v>125</v>
      </c>
      <c r="B163" s="14" t="s">
        <v>383</v>
      </c>
      <c r="C163" s="14" t="s">
        <v>397</v>
      </c>
      <c r="D163" s="14" t="s">
        <v>385</v>
      </c>
      <c r="E163" s="42" t="s">
        <v>268</v>
      </c>
      <c r="F163" s="14" t="s">
        <v>126</v>
      </c>
      <c r="G163" s="51">
        <f>3322-77+464.8+6628.2-550+1420.9+1676.2+1000+927.4+496.9-750</f>
        <v>14559.4</v>
      </c>
    </row>
    <row r="164" spans="1:7" s="11" customFormat="1" ht="90" customHeight="1">
      <c r="A164" s="15" t="s">
        <v>575</v>
      </c>
      <c r="B164" s="14" t="s">
        <v>383</v>
      </c>
      <c r="C164" s="14" t="s">
        <v>397</v>
      </c>
      <c r="D164" s="14" t="s">
        <v>385</v>
      </c>
      <c r="E164" s="42" t="s">
        <v>576</v>
      </c>
      <c r="F164" s="60"/>
      <c r="G164" s="43">
        <f>G165</f>
        <v>23500</v>
      </c>
    </row>
    <row r="165" spans="1:7" s="11" customFormat="1" ht="23.25" customHeight="1">
      <c r="A165" s="15" t="s">
        <v>127</v>
      </c>
      <c r="B165" s="14" t="s">
        <v>383</v>
      </c>
      <c r="C165" s="14" t="s">
        <v>397</v>
      </c>
      <c r="D165" s="14" t="s">
        <v>385</v>
      </c>
      <c r="E165" s="42" t="s">
        <v>576</v>
      </c>
      <c r="F165" s="60" t="s">
        <v>128</v>
      </c>
      <c r="G165" s="43">
        <f>G166</f>
        <v>23500</v>
      </c>
    </row>
    <row r="166" spans="1:7" s="11" customFormat="1" ht="63" customHeight="1">
      <c r="A166" s="15" t="s">
        <v>81</v>
      </c>
      <c r="B166" s="14" t="s">
        <v>383</v>
      </c>
      <c r="C166" s="14" t="s">
        <v>397</v>
      </c>
      <c r="D166" s="14" t="s">
        <v>385</v>
      </c>
      <c r="E166" s="42" t="s">
        <v>576</v>
      </c>
      <c r="F166" s="60" t="s">
        <v>82</v>
      </c>
      <c r="G166" s="43">
        <f>10000+13500</f>
        <v>23500</v>
      </c>
    </row>
    <row r="167" spans="1:7" s="11" customFormat="1" ht="98.25" customHeight="1">
      <c r="A167" s="223" t="s">
        <v>737</v>
      </c>
      <c r="B167" s="14" t="s">
        <v>383</v>
      </c>
      <c r="C167" s="14" t="s">
        <v>397</v>
      </c>
      <c r="D167" s="14" t="s">
        <v>385</v>
      </c>
      <c r="E167" s="42" t="s">
        <v>732</v>
      </c>
      <c r="F167" s="60"/>
      <c r="G167" s="43">
        <f>G168</f>
        <v>10100</v>
      </c>
    </row>
    <row r="168" spans="1:7" s="11" customFormat="1" ht="26.25" customHeight="1">
      <c r="A168" s="254" t="s">
        <v>127</v>
      </c>
      <c r="B168" s="14" t="s">
        <v>383</v>
      </c>
      <c r="C168" s="14" t="s">
        <v>397</v>
      </c>
      <c r="D168" s="14" t="s">
        <v>385</v>
      </c>
      <c r="E168" s="42" t="s">
        <v>732</v>
      </c>
      <c r="F168" s="60" t="s">
        <v>128</v>
      </c>
      <c r="G168" s="43">
        <f>G169</f>
        <v>10100</v>
      </c>
    </row>
    <row r="169" spans="1:7" s="11" customFormat="1" ht="45" customHeight="1">
      <c r="A169" s="255" t="s">
        <v>731</v>
      </c>
      <c r="B169" s="14" t="s">
        <v>383</v>
      </c>
      <c r="C169" s="14" t="s">
        <v>397</v>
      </c>
      <c r="D169" s="14" t="s">
        <v>385</v>
      </c>
      <c r="E169" s="42" t="s">
        <v>732</v>
      </c>
      <c r="F169" s="60" t="s">
        <v>254</v>
      </c>
      <c r="G169" s="43">
        <v>10100</v>
      </c>
    </row>
    <row r="170" spans="1:8" s="11" customFormat="1" ht="15.75">
      <c r="A170" s="56" t="s">
        <v>269</v>
      </c>
      <c r="B170" s="14" t="s">
        <v>383</v>
      </c>
      <c r="C170" s="14" t="s">
        <v>397</v>
      </c>
      <c r="D170" s="14" t="s">
        <v>390</v>
      </c>
      <c r="E170" s="62"/>
      <c r="F170" s="14"/>
      <c r="G170" s="73">
        <f>G171</f>
        <v>72352.77465</v>
      </c>
      <c r="H170" s="49"/>
    </row>
    <row r="171" spans="1:7" s="11" customFormat="1" ht="46.5">
      <c r="A171" s="52" t="s">
        <v>204</v>
      </c>
      <c r="B171" s="14" t="s">
        <v>383</v>
      </c>
      <c r="C171" s="14" t="s">
        <v>397</v>
      </c>
      <c r="D171" s="14" t="s">
        <v>390</v>
      </c>
      <c r="E171" s="45" t="s">
        <v>205</v>
      </c>
      <c r="F171" s="45"/>
      <c r="G171" s="67">
        <f>G172</f>
        <v>72352.77465</v>
      </c>
    </row>
    <row r="172" spans="1:7" s="11" customFormat="1" ht="15">
      <c r="A172" s="52" t="s">
        <v>271</v>
      </c>
      <c r="B172" s="14" t="s">
        <v>383</v>
      </c>
      <c r="C172" s="14" t="s">
        <v>397</v>
      </c>
      <c r="D172" s="14" t="s">
        <v>390</v>
      </c>
      <c r="E172" s="45" t="s">
        <v>272</v>
      </c>
      <c r="F172" s="45"/>
      <c r="G172" s="67">
        <f>G173+G186+G200</f>
        <v>72352.77465</v>
      </c>
    </row>
    <row r="173" spans="1:7" s="11" customFormat="1" ht="30.75">
      <c r="A173" s="57" t="s">
        <v>273</v>
      </c>
      <c r="B173" s="14" t="s">
        <v>383</v>
      </c>
      <c r="C173" s="14" t="s">
        <v>397</v>
      </c>
      <c r="D173" s="14" t="s">
        <v>390</v>
      </c>
      <c r="E173" s="45" t="s">
        <v>274</v>
      </c>
      <c r="F173" s="45"/>
      <c r="G173" s="67">
        <f>G174+G177+G180+G183</f>
        <v>29281.815</v>
      </c>
    </row>
    <row r="174" spans="1:7" s="11" customFormat="1" ht="22.5" customHeight="1">
      <c r="A174" s="52" t="s">
        <v>275</v>
      </c>
      <c r="B174" s="14" t="s">
        <v>383</v>
      </c>
      <c r="C174" s="14" t="s">
        <v>397</v>
      </c>
      <c r="D174" s="14" t="s">
        <v>390</v>
      </c>
      <c r="E174" s="45" t="s">
        <v>276</v>
      </c>
      <c r="F174" s="45"/>
      <c r="G174" s="67">
        <f>G175</f>
        <v>18462.083</v>
      </c>
    </row>
    <row r="175" spans="1:7" s="11" customFormat="1" ht="30.75">
      <c r="A175" s="52" t="s">
        <v>277</v>
      </c>
      <c r="B175" s="14" t="s">
        <v>383</v>
      </c>
      <c r="C175" s="14" t="s">
        <v>397</v>
      </c>
      <c r="D175" s="14" t="s">
        <v>390</v>
      </c>
      <c r="E175" s="45" t="s">
        <v>276</v>
      </c>
      <c r="F175" s="45" t="s">
        <v>278</v>
      </c>
      <c r="G175" s="51">
        <f>G176</f>
        <v>18462.083</v>
      </c>
    </row>
    <row r="176" spans="1:7" s="11" customFormat="1" ht="15">
      <c r="A176" s="52" t="s">
        <v>279</v>
      </c>
      <c r="B176" s="14" t="s">
        <v>383</v>
      </c>
      <c r="C176" s="14" t="s">
        <v>397</v>
      </c>
      <c r="D176" s="14" t="s">
        <v>390</v>
      </c>
      <c r="E176" s="45" t="s">
        <v>276</v>
      </c>
      <c r="F176" s="45" t="s">
        <v>280</v>
      </c>
      <c r="G176" s="51">
        <f>15293.4+1324.4+830+425.083+89.2+500</f>
        <v>18462.083</v>
      </c>
    </row>
    <row r="177" spans="1:7" s="11" customFormat="1" ht="21" customHeight="1">
      <c r="A177" s="52" t="s">
        <v>281</v>
      </c>
      <c r="B177" s="14" t="s">
        <v>383</v>
      </c>
      <c r="C177" s="14" t="s">
        <v>397</v>
      </c>
      <c r="D177" s="14" t="s">
        <v>390</v>
      </c>
      <c r="E177" s="45" t="s">
        <v>282</v>
      </c>
      <c r="F177" s="45"/>
      <c r="G177" s="67">
        <f>G178</f>
        <v>5658.2</v>
      </c>
    </row>
    <row r="178" spans="1:7" s="11" customFormat="1" ht="30.75">
      <c r="A178" s="52" t="s">
        <v>277</v>
      </c>
      <c r="B178" s="14" t="s">
        <v>383</v>
      </c>
      <c r="C178" s="14" t="s">
        <v>397</v>
      </c>
      <c r="D178" s="14" t="s">
        <v>390</v>
      </c>
      <c r="E178" s="45" t="s">
        <v>282</v>
      </c>
      <c r="F178" s="45" t="s">
        <v>278</v>
      </c>
      <c r="G178" s="51">
        <f>G179</f>
        <v>5658.2</v>
      </c>
    </row>
    <row r="179" spans="1:7" s="11" customFormat="1" ht="15">
      <c r="A179" s="52" t="s">
        <v>279</v>
      </c>
      <c r="B179" s="14" t="s">
        <v>383</v>
      </c>
      <c r="C179" s="14" t="s">
        <v>397</v>
      </c>
      <c r="D179" s="14" t="s">
        <v>390</v>
      </c>
      <c r="E179" s="45" t="s">
        <v>282</v>
      </c>
      <c r="F179" s="45" t="s">
        <v>280</v>
      </c>
      <c r="G179" s="51">
        <f>5423.2+235</f>
        <v>5658.2</v>
      </c>
    </row>
    <row r="180" spans="1:7" s="11" customFormat="1" ht="15">
      <c r="A180" s="52" t="s">
        <v>283</v>
      </c>
      <c r="B180" s="14" t="s">
        <v>383</v>
      </c>
      <c r="C180" s="14" t="s">
        <v>397</v>
      </c>
      <c r="D180" s="14" t="s">
        <v>390</v>
      </c>
      <c r="E180" s="45" t="s">
        <v>284</v>
      </c>
      <c r="F180" s="37"/>
      <c r="G180" s="51">
        <f>G181</f>
        <v>5061.532</v>
      </c>
    </row>
    <row r="181" spans="1:7" s="11" customFormat="1" ht="15">
      <c r="A181" s="15" t="s">
        <v>123</v>
      </c>
      <c r="B181" s="14" t="s">
        <v>383</v>
      </c>
      <c r="C181" s="14" t="s">
        <v>397</v>
      </c>
      <c r="D181" s="14" t="s">
        <v>390</v>
      </c>
      <c r="E181" s="45" t="s">
        <v>284</v>
      </c>
      <c r="F181" s="45" t="s">
        <v>124</v>
      </c>
      <c r="G181" s="51">
        <f>G182</f>
        <v>5061.532</v>
      </c>
    </row>
    <row r="182" spans="1:7" s="11" customFormat="1" ht="30.75">
      <c r="A182" s="15" t="s">
        <v>125</v>
      </c>
      <c r="B182" s="14" t="s">
        <v>383</v>
      </c>
      <c r="C182" s="14" t="s">
        <v>397</v>
      </c>
      <c r="D182" s="14" t="s">
        <v>390</v>
      </c>
      <c r="E182" s="45" t="s">
        <v>284</v>
      </c>
      <c r="F182" s="45" t="s">
        <v>126</v>
      </c>
      <c r="G182" s="51">
        <f>4236.6+409.732+415.2</f>
        <v>5061.532</v>
      </c>
    </row>
    <row r="183" spans="1:7" s="11" customFormat="1" ht="15">
      <c r="A183" s="52" t="s">
        <v>285</v>
      </c>
      <c r="B183" s="14" t="s">
        <v>383</v>
      </c>
      <c r="C183" s="14" t="s">
        <v>397</v>
      </c>
      <c r="D183" s="14" t="s">
        <v>390</v>
      </c>
      <c r="E183" s="45" t="s">
        <v>286</v>
      </c>
      <c r="F183" s="37"/>
      <c r="G183" s="51">
        <f>G184</f>
        <v>100</v>
      </c>
    </row>
    <row r="184" spans="1:7" s="11" customFormat="1" ht="15">
      <c r="A184" s="15" t="s">
        <v>123</v>
      </c>
      <c r="B184" s="14" t="s">
        <v>383</v>
      </c>
      <c r="C184" s="14" t="s">
        <v>397</v>
      </c>
      <c r="D184" s="14" t="s">
        <v>390</v>
      </c>
      <c r="E184" s="45" t="s">
        <v>286</v>
      </c>
      <c r="F184" s="45" t="s">
        <v>124</v>
      </c>
      <c r="G184" s="51">
        <f>G185</f>
        <v>100</v>
      </c>
    </row>
    <row r="185" spans="1:7" s="11" customFormat="1" ht="30.75">
      <c r="A185" s="15" t="s">
        <v>125</v>
      </c>
      <c r="B185" s="14" t="s">
        <v>383</v>
      </c>
      <c r="C185" s="14" t="s">
        <v>397</v>
      </c>
      <c r="D185" s="14" t="s">
        <v>390</v>
      </c>
      <c r="E185" s="45" t="s">
        <v>286</v>
      </c>
      <c r="F185" s="45" t="s">
        <v>126</v>
      </c>
      <c r="G185" s="51">
        <v>100</v>
      </c>
    </row>
    <row r="186" spans="1:7" s="11" customFormat="1" ht="22.5" customHeight="1">
      <c r="A186" s="57" t="s">
        <v>287</v>
      </c>
      <c r="B186" s="14" t="s">
        <v>383</v>
      </c>
      <c r="C186" s="14" t="s">
        <v>397</v>
      </c>
      <c r="D186" s="14" t="s">
        <v>390</v>
      </c>
      <c r="E186" s="45" t="s">
        <v>288</v>
      </c>
      <c r="F186" s="45"/>
      <c r="G186" s="51">
        <f>G187+G190+G197+G194</f>
        <v>21246.07965</v>
      </c>
    </row>
    <row r="187" spans="1:7" s="11" customFormat="1" ht="15">
      <c r="A187" s="52" t="s">
        <v>289</v>
      </c>
      <c r="B187" s="14" t="s">
        <v>383</v>
      </c>
      <c r="C187" s="14" t="s">
        <v>397</v>
      </c>
      <c r="D187" s="14" t="s">
        <v>390</v>
      </c>
      <c r="E187" s="45" t="s">
        <v>290</v>
      </c>
      <c r="F187" s="45"/>
      <c r="G187" s="51">
        <f>G188</f>
        <v>4332.5</v>
      </c>
    </row>
    <row r="188" spans="1:7" s="11" customFormat="1" ht="15">
      <c r="A188" s="15" t="s">
        <v>123</v>
      </c>
      <c r="B188" s="14" t="s">
        <v>383</v>
      </c>
      <c r="C188" s="14" t="s">
        <v>397</v>
      </c>
      <c r="D188" s="14" t="s">
        <v>390</v>
      </c>
      <c r="E188" s="45" t="s">
        <v>290</v>
      </c>
      <c r="F188" s="45" t="s">
        <v>124</v>
      </c>
      <c r="G188" s="51">
        <f>G189</f>
        <v>4332.5</v>
      </c>
    </row>
    <row r="189" spans="1:7" s="11" customFormat="1" ht="19.5" customHeight="1">
      <c r="A189" s="15" t="s">
        <v>125</v>
      </c>
      <c r="B189" s="14" t="s">
        <v>383</v>
      </c>
      <c r="C189" s="14" t="s">
        <v>397</v>
      </c>
      <c r="D189" s="14" t="s">
        <v>390</v>
      </c>
      <c r="E189" s="45" t="s">
        <v>290</v>
      </c>
      <c r="F189" s="45" t="s">
        <v>126</v>
      </c>
      <c r="G189" s="51">
        <f>4513-180.5</f>
        <v>4332.5</v>
      </c>
    </row>
    <row r="190" spans="1:7" s="11" customFormat="1" ht="30.75">
      <c r="A190" s="15" t="s">
        <v>291</v>
      </c>
      <c r="B190" s="14" t="s">
        <v>383</v>
      </c>
      <c r="C190" s="14" t="s">
        <v>397</v>
      </c>
      <c r="D190" s="14" t="s">
        <v>390</v>
      </c>
      <c r="E190" s="45" t="s">
        <v>292</v>
      </c>
      <c r="F190" s="45"/>
      <c r="G190" s="51">
        <f>G191</f>
        <v>6196.2</v>
      </c>
    </row>
    <row r="191" spans="1:7" s="11" customFormat="1" ht="15">
      <c r="A191" s="15" t="s">
        <v>123</v>
      </c>
      <c r="B191" s="14" t="s">
        <v>383</v>
      </c>
      <c r="C191" s="14" t="s">
        <v>397</v>
      </c>
      <c r="D191" s="14" t="s">
        <v>390</v>
      </c>
      <c r="E191" s="45" t="s">
        <v>292</v>
      </c>
      <c r="F191" s="45" t="s">
        <v>124</v>
      </c>
      <c r="G191" s="51">
        <f>G192</f>
        <v>6196.2</v>
      </c>
    </row>
    <row r="192" spans="1:7" s="11" customFormat="1" ht="30.75">
      <c r="A192" s="15" t="s">
        <v>125</v>
      </c>
      <c r="B192" s="14" t="s">
        <v>383</v>
      </c>
      <c r="C192" s="14" t="s">
        <v>397</v>
      </c>
      <c r="D192" s="14" t="s">
        <v>390</v>
      </c>
      <c r="E192" s="45" t="s">
        <v>292</v>
      </c>
      <c r="F192" s="45" t="s">
        <v>126</v>
      </c>
      <c r="G192" s="51">
        <f>4000+2196.2</f>
        <v>6196.2</v>
      </c>
    </row>
    <row r="193" spans="1:7" s="11" customFormat="1" ht="15">
      <c r="A193" s="52" t="s">
        <v>212</v>
      </c>
      <c r="B193" s="14" t="s">
        <v>383</v>
      </c>
      <c r="C193" s="14" t="s">
        <v>397</v>
      </c>
      <c r="D193" s="14" t="s">
        <v>390</v>
      </c>
      <c r="E193" s="45" t="s">
        <v>293</v>
      </c>
      <c r="F193" s="45"/>
      <c r="G193" s="51">
        <f>G194</f>
        <v>7934.02</v>
      </c>
    </row>
    <row r="194" spans="1:7" s="11" customFormat="1" ht="46.5">
      <c r="A194" s="18" t="s">
        <v>294</v>
      </c>
      <c r="B194" s="14" t="s">
        <v>383</v>
      </c>
      <c r="C194" s="14" t="s">
        <v>397</v>
      </c>
      <c r="D194" s="14" t="s">
        <v>390</v>
      </c>
      <c r="E194" s="45" t="s">
        <v>295</v>
      </c>
      <c r="F194" s="45"/>
      <c r="G194" s="51">
        <f>G195</f>
        <v>7934.02</v>
      </c>
    </row>
    <row r="195" spans="1:7" s="11" customFormat="1" ht="15">
      <c r="A195" s="15" t="s">
        <v>123</v>
      </c>
      <c r="B195" s="14" t="s">
        <v>383</v>
      </c>
      <c r="C195" s="14" t="s">
        <v>397</v>
      </c>
      <c r="D195" s="14" t="s">
        <v>390</v>
      </c>
      <c r="E195" s="45" t="s">
        <v>295</v>
      </c>
      <c r="F195" s="45" t="s">
        <v>124</v>
      </c>
      <c r="G195" s="51">
        <f>G196</f>
        <v>7934.02</v>
      </c>
    </row>
    <row r="196" spans="1:7" s="11" customFormat="1" ht="30.75">
      <c r="A196" s="15" t="s">
        <v>125</v>
      </c>
      <c r="B196" s="14" t="s">
        <v>383</v>
      </c>
      <c r="C196" s="14" t="s">
        <v>397</v>
      </c>
      <c r="D196" s="14" t="s">
        <v>390</v>
      </c>
      <c r="E196" s="45" t="s">
        <v>295</v>
      </c>
      <c r="F196" s="45" t="s">
        <v>126</v>
      </c>
      <c r="G196" s="51">
        <f>6513.83+1420.19</f>
        <v>7934.02</v>
      </c>
    </row>
    <row r="197" spans="1:7" s="11" customFormat="1" ht="15">
      <c r="A197" s="52" t="s">
        <v>296</v>
      </c>
      <c r="B197" s="14" t="s">
        <v>383</v>
      </c>
      <c r="C197" s="14" t="s">
        <v>397</v>
      </c>
      <c r="D197" s="14" t="s">
        <v>390</v>
      </c>
      <c r="E197" s="45" t="s">
        <v>297</v>
      </c>
      <c r="F197" s="45"/>
      <c r="G197" s="51">
        <f>G198</f>
        <v>2783.359650000001</v>
      </c>
    </row>
    <row r="198" spans="1:7" s="11" customFormat="1" ht="15">
      <c r="A198" s="15" t="s">
        <v>123</v>
      </c>
      <c r="B198" s="14" t="s">
        <v>383</v>
      </c>
      <c r="C198" s="14" t="s">
        <v>397</v>
      </c>
      <c r="D198" s="14" t="s">
        <v>390</v>
      </c>
      <c r="E198" s="45" t="s">
        <v>297</v>
      </c>
      <c r="F198" s="45" t="s">
        <v>124</v>
      </c>
      <c r="G198" s="51">
        <f>G199</f>
        <v>2783.359650000001</v>
      </c>
    </row>
    <row r="199" spans="1:7" s="11" customFormat="1" ht="30.75">
      <c r="A199" s="15" t="s">
        <v>125</v>
      </c>
      <c r="B199" s="14" t="s">
        <v>383</v>
      </c>
      <c r="C199" s="14" t="s">
        <v>397</v>
      </c>
      <c r="D199" s="14" t="s">
        <v>390</v>
      </c>
      <c r="E199" s="45" t="s">
        <v>297</v>
      </c>
      <c r="F199" s="45" t="s">
        <v>126</v>
      </c>
      <c r="G199" s="51">
        <f>1300-517.6+110.2+1039.2-70.4+450.13025+331.7294+110.8-15.7+45</f>
        <v>2783.359650000001</v>
      </c>
    </row>
    <row r="200" spans="1:7" s="11" customFormat="1" ht="15">
      <c r="A200" s="57" t="s">
        <v>303</v>
      </c>
      <c r="B200" s="14" t="s">
        <v>383</v>
      </c>
      <c r="C200" s="14" t="s">
        <v>397</v>
      </c>
      <c r="D200" s="14" t="s">
        <v>390</v>
      </c>
      <c r="E200" s="45" t="s">
        <v>304</v>
      </c>
      <c r="F200" s="45"/>
      <c r="G200" s="51">
        <f>G201+G204</f>
        <v>21824.88</v>
      </c>
    </row>
    <row r="201" spans="1:7" s="11" customFormat="1" ht="15">
      <c r="A201" s="52" t="s">
        <v>305</v>
      </c>
      <c r="B201" s="14" t="s">
        <v>383</v>
      </c>
      <c r="C201" s="14" t="s">
        <v>397</v>
      </c>
      <c r="D201" s="14" t="s">
        <v>390</v>
      </c>
      <c r="E201" s="45" t="s">
        <v>306</v>
      </c>
      <c r="F201" s="45"/>
      <c r="G201" s="51">
        <f>G202</f>
        <v>21747</v>
      </c>
    </row>
    <row r="202" spans="1:7" s="11" customFormat="1" ht="15">
      <c r="A202" s="15" t="s">
        <v>123</v>
      </c>
      <c r="B202" s="14" t="s">
        <v>383</v>
      </c>
      <c r="C202" s="14" t="s">
        <v>397</v>
      </c>
      <c r="D202" s="14" t="s">
        <v>390</v>
      </c>
      <c r="E202" s="45" t="s">
        <v>306</v>
      </c>
      <c r="F202" s="45" t="s">
        <v>124</v>
      </c>
      <c r="G202" s="51">
        <f>G203</f>
        <v>21747</v>
      </c>
    </row>
    <row r="203" spans="1:7" s="11" customFormat="1" ht="30.75">
      <c r="A203" s="15" t="s">
        <v>125</v>
      </c>
      <c r="B203" s="14" t="s">
        <v>383</v>
      </c>
      <c r="C203" s="14" t="s">
        <v>397</v>
      </c>
      <c r="D203" s="14" t="s">
        <v>390</v>
      </c>
      <c r="E203" s="45" t="s">
        <v>306</v>
      </c>
      <c r="F203" s="45" t="s">
        <v>126</v>
      </c>
      <c r="G203" s="51">
        <f>2400-2000+750+200+90+550+60050-37750-7000-1000+1200-200+2877+1080+500</f>
        <v>21747</v>
      </c>
    </row>
    <row r="204" spans="1:7" s="11" customFormat="1" ht="15">
      <c r="A204" s="52" t="s">
        <v>212</v>
      </c>
      <c r="B204" s="14" t="s">
        <v>383</v>
      </c>
      <c r="C204" s="14" t="s">
        <v>397</v>
      </c>
      <c r="D204" s="14" t="s">
        <v>390</v>
      </c>
      <c r="E204" s="45" t="s">
        <v>293</v>
      </c>
      <c r="F204" s="45"/>
      <c r="G204" s="51">
        <f>G205+G208</f>
        <v>77.87999999999978</v>
      </c>
    </row>
    <row r="205" spans="1:7" s="11" customFormat="1" ht="30.75">
      <c r="A205" s="58" t="s">
        <v>307</v>
      </c>
      <c r="B205" s="14" t="s">
        <v>383</v>
      </c>
      <c r="C205" s="14" t="s">
        <v>397</v>
      </c>
      <c r="D205" s="14" t="s">
        <v>390</v>
      </c>
      <c r="E205" s="45" t="s">
        <v>310</v>
      </c>
      <c r="F205" s="45"/>
      <c r="G205" s="51">
        <f>G206</f>
        <v>77.89</v>
      </c>
    </row>
    <row r="206" spans="1:7" s="11" customFormat="1" ht="15">
      <c r="A206" s="15" t="s">
        <v>123</v>
      </c>
      <c r="B206" s="14" t="s">
        <v>383</v>
      </c>
      <c r="C206" s="14" t="s">
        <v>397</v>
      </c>
      <c r="D206" s="14" t="s">
        <v>390</v>
      </c>
      <c r="E206" s="45" t="s">
        <v>310</v>
      </c>
      <c r="F206" s="45" t="s">
        <v>124</v>
      </c>
      <c r="G206" s="51">
        <f>G207</f>
        <v>77.89</v>
      </c>
    </row>
    <row r="207" spans="1:7" s="11" customFormat="1" ht="30.75">
      <c r="A207" s="15" t="s">
        <v>125</v>
      </c>
      <c r="B207" s="14" t="s">
        <v>383</v>
      </c>
      <c r="C207" s="14" t="s">
        <v>397</v>
      </c>
      <c r="D207" s="14" t="s">
        <v>390</v>
      </c>
      <c r="E207" s="45" t="s">
        <v>310</v>
      </c>
      <c r="F207" s="45" t="s">
        <v>126</v>
      </c>
      <c r="G207" s="51">
        <v>77.89</v>
      </c>
    </row>
    <row r="208" spans="1:7" s="11" customFormat="1" ht="30.75">
      <c r="A208" s="58" t="s">
        <v>309</v>
      </c>
      <c r="B208" s="14" t="s">
        <v>383</v>
      </c>
      <c r="C208" s="14" t="s">
        <v>397</v>
      </c>
      <c r="D208" s="14" t="s">
        <v>390</v>
      </c>
      <c r="E208" s="45" t="s">
        <v>310</v>
      </c>
      <c r="F208" s="45"/>
      <c r="G208" s="51">
        <f>G209</f>
        <v>-0.010000000000218279</v>
      </c>
    </row>
    <row r="209" spans="1:7" s="11" customFormat="1" ht="15">
      <c r="A209" s="15" t="s">
        <v>123</v>
      </c>
      <c r="B209" s="14" t="s">
        <v>383</v>
      </c>
      <c r="C209" s="14" t="s">
        <v>397</v>
      </c>
      <c r="D209" s="14" t="s">
        <v>390</v>
      </c>
      <c r="E209" s="45" t="s">
        <v>310</v>
      </c>
      <c r="F209" s="45" t="s">
        <v>124</v>
      </c>
      <c r="G209" s="51">
        <f>G210</f>
        <v>-0.010000000000218279</v>
      </c>
    </row>
    <row r="210" spans="1:7" s="11" customFormat="1" ht="30.75">
      <c r="A210" s="15" t="s">
        <v>125</v>
      </c>
      <c r="B210" s="14" t="s">
        <v>383</v>
      </c>
      <c r="C210" s="14" t="s">
        <v>397</v>
      </c>
      <c r="D210" s="14" t="s">
        <v>390</v>
      </c>
      <c r="E210" s="45" t="s">
        <v>310</v>
      </c>
      <c r="F210" s="45" t="s">
        <v>126</v>
      </c>
      <c r="G210" s="51">
        <f>5673.79+1237-6910.8</f>
        <v>-0.010000000000218279</v>
      </c>
    </row>
    <row r="211" spans="1:7" s="11" customFormat="1" ht="15.75">
      <c r="A211" s="46" t="s">
        <v>311</v>
      </c>
      <c r="B211" s="14" t="s">
        <v>383</v>
      </c>
      <c r="C211" s="14" t="s">
        <v>387</v>
      </c>
      <c r="D211" s="14"/>
      <c r="E211" s="88"/>
      <c r="F211" s="88"/>
      <c r="G211" s="89">
        <f>G212</f>
        <v>60</v>
      </c>
    </row>
    <row r="212" spans="1:7" s="11" customFormat="1" ht="30.75">
      <c r="A212" s="15" t="s">
        <v>313</v>
      </c>
      <c r="B212" s="14" t="s">
        <v>383</v>
      </c>
      <c r="C212" s="14" t="s">
        <v>387</v>
      </c>
      <c r="D212" s="14" t="s">
        <v>387</v>
      </c>
      <c r="E212" s="45"/>
      <c r="F212" s="14"/>
      <c r="G212" s="51">
        <f>G213</f>
        <v>60</v>
      </c>
    </row>
    <row r="213" spans="1:7" s="11" customFormat="1" ht="15">
      <c r="A213" s="15" t="s">
        <v>123</v>
      </c>
      <c r="B213" s="14" t="s">
        <v>383</v>
      </c>
      <c r="C213" s="14" t="s">
        <v>387</v>
      </c>
      <c r="D213" s="14" t="s">
        <v>387</v>
      </c>
      <c r="E213" s="45" t="s">
        <v>316</v>
      </c>
      <c r="F213" s="14" t="s">
        <v>124</v>
      </c>
      <c r="G213" s="51">
        <f>G214</f>
        <v>60</v>
      </c>
    </row>
    <row r="214" spans="1:7" s="11" customFormat="1" ht="30.75">
      <c r="A214" s="15" t="s">
        <v>125</v>
      </c>
      <c r="B214" s="14" t="s">
        <v>383</v>
      </c>
      <c r="C214" s="14" t="s">
        <v>387</v>
      </c>
      <c r="D214" s="14" t="s">
        <v>387</v>
      </c>
      <c r="E214" s="45" t="s">
        <v>316</v>
      </c>
      <c r="F214" s="14" t="s">
        <v>126</v>
      </c>
      <c r="G214" s="51">
        <f>1022-962</f>
        <v>60</v>
      </c>
    </row>
    <row r="215" spans="1:7" s="11" customFormat="1" ht="15.75">
      <c r="A215" s="46" t="s">
        <v>317</v>
      </c>
      <c r="B215" s="14" t="s">
        <v>383</v>
      </c>
      <c r="C215" s="14" t="s">
        <v>402</v>
      </c>
      <c r="D215" s="14"/>
      <c r="E215" s="84"/>
      <c r="F215" s="84"/>
      <c r="G215" s="73">
        <f>G216</f>
        <v>40826.1</v>
      </c>
    </row>
    <row r="216" spans="1:7" s="11" customFormat="1" ht="15">
      <c r="A216" s="48" t="s">
        <v>319</v>
      </c>
      <c r="B216" s="14" t="s">
        <v>383</v>
      </c>
      <c r="C216" s="14" t="s">
        <v>402</v>
      </c>
      <c r="D216" s="14" t="s">
        <v>384</v>
      </c>
      <c r="E216" s="14"/>
      <c r="F216" s="14"/>
      <c r="G216" s="51">
        <f>G217</f>
        <v>40826.1</v>
      </c>
    </row>
    <row r="217" spans="1:7" s="11" customFormat="1" ht="30.75">
      <c r="A217" s="15" t="s">
        <v>321</v>
      </c>
      <c r="B217" s="14" t="s">
        <v>383</v>
      </c>
      <c r="C217" s="14" t="s">
        <v>402</v>
      </c>
      <c r="D217" s="14" t="s">
        <v>384</v>
      </c>
      <c r="E217" s="45" t="s">
        <v>322</v>
      </c>
      <c r="F217" s="1"/>
      <c r="G217" s="51">
        <f>G218+G222+G225</f>
        <v>40826.1</v>
      </c>
    </row>
    <row r="218" spans="1:7" s="11" customFormat="1" ht="30.75">
      <c r="A218" s="52" t="s">
        <v>323</v>
      </c>
      <c r="B218" s="14" t="s">
        <v>383</v>
      </c>
      <c r="C218" s="14" t="s">
        <v>402</v>
      </c>
      <c r="D218" s="14" t="s">
        <v>384</v>
      </c>
      <c r="E218" s="42" t="s">
        <v>324</v>
      </c>
      <c r="F218" s="1"/>
      <c r="G218" s="51">
        <f>G219</f>
        <v>33246.1</v>
      </c>
    </row>
    <row r="219" spans="1:7" s="11" customFormat="1" ht="15">
      <c r="A219" s="52" t="s">
        <v>325</v>
      </c>
      <c r="B219" s="14" t="s">
        <v>383</v>
      </c>
      <c r="C219" s="14" t="s">
        <v>402</v>
      </c>
      <c r="D219" s="14" t="s">
        <v>384</v>
      </c>
      <c r="E219" s="42" t="s">
        <v>324</v>
      </c>
      <c r="F219" s="1"/>
      <c r="G219" s="51">
        <f>G220</f>
        <v>33246.1</v>
      </c>
    </row>
    <row r="220" spans="1:7" s="11" customFormat="1" ht="30.75">
      <c r="A220" s="52" t="s">
        <v>277</v>
      </c>
      <c r="B220" s="14" t="s">
        <v>383</v>
      </c>
      <c r="C220" s="14" t="s">
        <v>402</v>
      </c>
      <c r="D220" s="14" t="s">
        <v>384</v>
      </c>
      <c r="E220" s="42" t="s">
        <v>324</v>
      </c>
      <c r="F220" s="1" t="s">
        <v>278</v>
      </c>
      <c r="G220" s="51">
        <f>G221</f>
        <v>33246.1</v>
      </c>
    </row>
    <row r="221" spans="1:7" s="11" customFormat="1" ht="15">
      <c r="A221" s="52" t="s">
        <v>279</v>
      </c>
      <c r="B221" s="14" t="s">
        <v>383</v>
      </c>
      <c r="C221" s="14" t="s">
        <v>402</v>
      </c>
      <c r="D221" s="14" t="s">
        <v>384</v>
      </c>
      <c r="E221" s="42" t="s">
        <v>324</v>
      </c>
      <c r="F221" s="1" t="s">
        <v>280</v>
      </c>
      <c r="G221" s="51">
        <f>26729.1+1097-647+420+1000+4647</f>
        <v>33246.1</v>
      </c>
    </row>
    <row r="222" spans="1:7" s="11" customFormat="1" ht="30.75">
      <c r="A222" s="52" t="s">
        <v>326</v>
      </c>
      <c r="B222" s="14" t="s">
        <v>383</v>
      </c>
      <c r="C222" s="14" t="s">
        <v>402</v>
      </c>
      <c r="D222" s="14" t="s">
        <v>384</v>
      </c>
      <c r="E222" s="42" t="s">
        <v>327</v>
      </c>
      <c r="F222" s="14"/>
      <c r="G222" s="51">
        <f>G223</f>
        <v>7500</v>
      </c>
    </row>
    <row r="223" spans="1:7" s="11" customFormat="1" ht="15">
      <c r="A223" s="52" t="s">
        <v>123</v>
      </c>
      <c r="B223" s="14" t="s">
        <v>383</v>
      </c>
      <c r="C223" s="14" t="s">
        <v>402</v>
      </c>
      <c r="D223" s="14" t="s">
        <v>384</v>
      </c>
      <c r="E223" s="42" t="s">
        <v>327</v>
      </c>
      <c r="F223" s="14" t="s">
        <v>124</v>
      </c>
      <c r="G223" s="51">
        <f>G224</f>
        <v>7500</v>
      </c>
    </row>
    <row r="224" spans="1:7" s="11" customFormat="1" ht="30.75">
      <c r="A224" s="15" t="s">
        <v>125</v>
      </c>
      <c r="B224" s="14" t="s">
        <v>383</v>
      </c>
      <c r="C224" s="14" t="s">
        <v>402</v>
      </c>
      <c r="D224" s="14" t="s">
        <v>384</v>
      </c>
      <c r="E224" s="42" t="s">
        <v>327</v>
      </c>
      <c r="F224" s="14" t="s">
        <v>126</v>
      </c>
      <c r="G224" s="51">
        <f>15500-8000</f>
        <v>7500</v>
      </c>
    </row>
    <row r="225" spans="1:7" s="11" customFormat="1" ht="30.75">
      <c r="A225" s="52" t="s">
        <v>328</v>
      </c>
      <c r="B225" s="14" t="s">
        <v>383</v>
      </c>
      <c r="C225" s="14" t="s">
        <v>402</v>
      </c>
      <c r="D225" s="14" t="s">
        <v>384</v>
      </c>
      <c r="E225" s="42" t="s">
        <v>329</v>
      </c>
      <c r="F225" s="14"/>
      <c r="G225" s="51">
        <f>G226</f>
        <v>80</v>
      </c>
    </row>
    <row r="226" spans="1:7" s="11" customFormat="1" ht="15">
      <c r="A226" s="52" t="s">
        <v>330</v>
      </c>
      <c r="B226" s="14" t="s">
        <v>383</v>
      </c>
      <c r="C226" s="14" t="s">
        <v>402</v>
      </c>
      <c r="D226" s="14" t="s">
        <v>384</v>
      </c>
      <c r="E226" s="42" t="s">
        <v>329</v>
      </c>
      <c r="F226" s="1"/>
      <c r="G226" s="51">
        <f>G228</f>
        <v>80</v>
      </c>
    </row>
    <row r="227" spans="1:7" s="11" customFormat="1" ht="15">
      <c r="A227" s="52" t="s">
        <v>123</v>
      </c>
      <c r="B227" s="14" t="s">
        <v>383</v>
      </c>
      <c r="C227" s="14" t="s">
        <v>402</v>
      </c>
      <c r="D227" s="14" t="s">
        <v>384</v>
      </c>
      <c r="E227" s="42" t="s">
        <v>329</v>
      </c>
      <c r="F227" s="1" t="s">
        <v>124</v>
      </c>
      <c r="G227" s="51">
        <f>G228</f>
        <v>80</v>
      </c>
    </row>
    <row r="228" spans="1:7" s="11" customFormat="1" ht="30.75">
      <c r="A228" s="15" t="s">
        <v>125</v>
      </c>
      <c r="B228" s="14" t="s">
        <v>383</v>
      </c>
      <c r="C228" s="14" t="s">
        <v>402</v>
      </c>
      <c r="D228" s="14" t="s">
        <v>384</v>
      </c>
      <c r="E228" s="42" t="s">
        <v>329</v>
      </c>
      <c r="F228" s="1" t="s">
        <v>126</v>
      </c>
      <c r="G228" s="51">
        <f>450-420+50</f>
        <v>80</v>
      </c>
    </row>
    <row r="229" spans="1:7" s="11" customFormat="1" ht="15.75">
      <c r="A229" s="47" t="s">
        <v>331</v>
      </c>
      <c r="B229" s="14" t="s">
        <v>383</v>
      </c>
      <c r="C229" s="14" t="s">
        <v>395</v>
      </c>
      <c r="D229" s="1" t="s">
        <v>384</v>
      </c>
      <c r="E229" s="84"/>
      <c r="F229" s="84"/>
      <c r="G229" s="63">
        <f>G230</f>
        <v>780</v>
      </c>
    </row>
    <row r="230" spans="1:7" s="11" customFormat="1" ht="15">
      <c r="A230" s="48" t="s">
        <v>334</v>
      </c>
      <c r="B230" s="14" t="s">
        <v>383</v>
      </c>
      <c r="C230" s="14" t="s">
        <v>395</v>
      </c>
      <c r="D230" s="1" t="s">
        <v>384</v>
      </c>
      <c r="E230" s="14"/>
      <c r="F230" s="1"/>
      <c r="G230" s="90">
        <f>G231</f>
        <v>780</v>
      </c>
    </row>
    <row r="231" spans="1:7" s="11" customFormat="1" ht="15">
      <c r="A231" s="44" t="s">
        <v>336</v>
      </c>
      <c r="B231" s="14" t="s">
        <v>383</v>
      </c>
      <c r="C231" s="14" t="s">
        <v>395</v>
      </c>
      <c r="D231" s="1" t="s">
        <v>384</v>
      </c>
      <c r="E231" s="45" t="s">
        <v>335</v>
      </c>
      <c r="F231" s="1"/>
      <c r="G231" s="90">
        <f>G232</f>
        <v>780</v>
      </c>
    </row>
    <row r="232" spans="1:7" s="11" customFormat="1" ht="30.75">
      <c r="A232" s="44" t="s">
        <v>337</v>
      </c>
      <c r="B232" s="14" t="s">
        <v>383</v>
      </c>
      <c r="C232" s="14" t="s">
        <v>395</v>
      </c>
      <c r="D232" s="1" t="s">
        <v>384</v>
      </c>
      <c r="E232" s="45" t="s">
        <v>335</v>
      </c>
      <c r="F232" s="1"/>
      <c r="G232" s="90">
        <f>G234</f>
        <v>780</v>
      </c>
    </row>
    <row r="233" spans="1:7" s="11" customFormat="1" ht="15">
      <c r="A233" s="44" t="s">
        <v>339</v>
      </c>
      <c r="B233" s="14" t="s">
        <v>383</v>
      </c>
      <c r="C233" s="14" t="s">
        <v>395</v>
      </c>
      <c r="D233" s="1" t="s">
        <v>384</v>
      </c>
      <c r="E233" s="45" t="s">
        <v>338</v>
      </c>
      <c r="F233" s="14" t="s">
        <v>340</v>
      </c>
      <c r="G233" s="90">
        <f>G234</f>
        <v>780</v>
      </c>
    </row>
    <row r="234" spans="1:7" s="11" customFormat="1" ht="15">
      <c r="A234" s="44" t="s">
        <v>341</v>
      </c>
      <c r="B234" s="14" t="s">
        <v>383</v>
      </c>
      <c r="C234" s="14" t="s">
        <v>395</v>
      </c>
      <c r="D234" s="1" t="s">
        <v>384</v>
      </c>
      <c r="E234" s="45" t="s">
        <v>338</v>
      </c>
      <c r="F234" s="14" t="s">
        <v>342</v>
      </c>
      <c r="G234" s="90">
        <f>710+70</f>
        <v>780</v>
      </c>
    </row>
    <row r="235" spans="1:7" s="11" customFormat="1" ht="15.75">
      <c r="A235" s="46" t="s">
        <v>343</v>
      </c>
      <c r="B235" s="14" t="s">
        <v>383</v>
      </c>
      <c r="C235" s="14" t="s">
        <v>388</v>
      </c>
      <c r="D235" s="1"/>
      <c r="E235" s="9"/>
      <c r="F235" s="84"/>
      <c r="G235" s="63">
        <f>G236</f>
        <v>99472.528</v>
      </c>
    </row>
    <row r="236" spans="1:7" s="11" customFormat="1" ht="30.75">
      <c r="A236" s="15" t="s">
        <v>346</v>
      </c>
      <c r="B236" s="14" t="s">
        <v>383</v>
      </c>
      <c r="C236" s="14" t="s">
        <v>388</v>
      </c>
      <c r="D236" s="1" t="s">
        <v>403</v>
      </c>
      <c r="E236" s="45" t="s">
        <v>347</v>
      </c>
      <c r="F236" s="14"/>
      <c r="G236" s="67">
        <f>G237+G241</f>
        <v>99472.528</v>
      </c>
    </row>
    <row r="237" spans="1:7" s="11" customFormat="1" ht="15">
      <c r="A237" s="72" t="s">
        <v>345</v>
      </c>
      <c r="B237" s="14"/>
      <c r="C237" s="14"/>
      <c r="D237" s="1"/>
      <c r="E237" s="45"/>
      <c r="F237" s="14"/>
      <c r="G237" s="67">
        <f>G238</f>
        <v>16845.737999999998</v>
      </c>
    </row>
    <row r="238" spans="1:7" s="11" customFormat="1" ht="30.75">
      <c r="A238" s="52" t="s">
        <v>348</v>
      </c>
      <c r="B238" s="14" t="s">
        <v>383</v>
      </c>
      <c r="C238" s="14" t="s">
        <v>388</v>
      </c>
      <c r="D238" s="1" t="s">
        <v>384</v>
      </c>
      <c r="E238" s="45" t="s">
        <v>350</v>
      </c>
      <c r="F238" s="14"/>
      <c r="G238" s="51">
        <f>G239</f>
        <v>16845.737999999998</v>
      </c>
    </row>
    <row r="239" spans="1:14" ht="15">
      <c r="A239" s="52" t="s">
        <v>351</v>
      </c>
      <c r="B239" s="14" t="s">
        <v>383</v>
      </c>
      <c r="C239" s="14" t="s">
        <v>388</v>
      </c>
      <c r="D239" s="1" t="s">
        <v>384</v>
      </c>
      <c r="E239" s="45" t="s">
        <v>350</v>
      </c>
      <c r="F239" s="14" t="s">
        <v>278</v>
      </c>
      <c r="G239" s="51">
        <f>G240</f>
        <v>16845.737999999998</v>
      </c>
      <c r="N239" s="22"/>
    </row>
    <row r="240" spans="1:14" ht="30.75">
      <c r="A240" s="52" t="s">
        <v>277</v>
      </c>
      <c r="B240" s="14" t="s">
        <v>383</v>
      </c>
      <c r="C240" s="14" t="s">
        <v>388</v>
      </c>
      <c r="D240" s="1" t="s">
        <v>384</v>
      </c>
      <c r="E240" s="45" t="s">
        <v>350</v>
      </c>
      <c r="F240" s="1" t="s">
        <v>280</v>
      </c>
      <c r="G240" s="51">
        <f>15035.6+1037.3+172.838+300+300</f>
        <v>16845.737999999998</v>
      </c>
      <c r="N240" s="22"/>
    </row>
    <row r="241" spans="1:14" ht="15">
      <c r="A241" s="91" t="s">
        <v>352</v>
      </c>
      <c r="B241" s="14" t="s">
        <v>383</v>
      </c>
      <c r="C241" s="14" t="s">
        <v>388</v>
      </c>
      <c r="D241" s="1" t="s">
        <v>385</v>
      </c>
      <c r="E241" s="45"/>
      <c r="F241" s="1"/>
      <c r="G241" s="51">
        <f>G242+G247</f>
        <v>82626.79000000001</v>
      </c>
      <c r="N241" s="22"/>
    </row>
    <row r="242" spans="1:14" ht="15">
      <c r="A242" s="52" t="s">
        <v>354</v>
      </c>
      <c r="B242" s="14" t="s">
        <v>383</v>
      </c>
      <c r="C242" s="14" t="s">
        <v>388</v>
      </c>
      <c r="D242" s="1" t="s">
        <v>385</v>
      </c>
      <c r="E242" s="45" t="s">
        <v>347</v>
      </c>
      <c r="F242" s="1"/>
      <c r="G242" s="51">
        <f>G244</f>
        <v>66330.1</v>
      </c>
      <c r="N242" s="22"/>
    </row>
    <row r="243" spans="1:14" ht="15">
      <c r="A243" s="52" t="s">
        <v>355</v>
      </c>
      <c r="B243" s="14" t="s">
        <v>383</v>
      </c>
      <c r="C243" s="14" t="s">
        <v>388</v>
      </c>
      <c r="D243" s="1" t="s">
        <v>385</v>
      </c>
      <c r="E243" s="45" t="s">
        <v>356</v>
      </c>
      <c r="F243" s="42"/>
      <c r="G243" s="51">
        <f>G244</f>
        <v>66330.1</v>
      </c>
      <c r="N243" s="22"/>
    </row>
    <row r="244" spans="1:14" ht="30.75">
      <c r="A244" s="52" t="s">
        <v>357</v>
      </c>
      <c r="B244" s="14" t="s">
        <v>383</v>
      </c>
      <c r="C244" s="14" t="s">
        <v>388</v>
      </c>
      <c r="D244" s="1" t="s">
        <v>385</v>
      </c>
      <c r="E244" s="45" t="s">
        <v>358</v>
      </c>
      <c r="F244" s="42"/>
      <c r="G244" s="51">
        <f>G245</f>
        <v>66330.1</v>
      </c>
      <c r="N244" s="22"/>
    </row>
    <row r="245" spans="1:14" ht="15">
      <c r="A245" s="15" t="s">
        <v>123</v>
      </c>
      <c r="B245" s="14" t="s">
        <v>383</v>
      </c>
      <c r="C245" s="14" t="s">
        <v>388</v>
      </c>
      <c r="D245" s="1" t="s">
        <v>385</v>
      </c>
      <c r="E245" s="45" t="s">
        <v>358</v>
      </c>
      <c r="F245" s="42" t="s">
        <v>124</v>
      </c>
      <c r="G245" s="51">
        <f>G246</f>
        <v>66330.1</v>
      </c>
      <c r="N245" s="22"/>
    </row>
    <row r="246" spans="1:14" ht="30.75">
      <c r="A246" s="15" t="s">
        <v>125</v>
      </c>
      <c r="B246" s="14" t="s">
        <v>383</v>
      </c>
      <c r="C246" s="14" t="s">
        <v>388</v>
      </c>
      <c r="D246" s="1" t="s">
        <v>385</v>
      </c>
      <c r="E246" s="45" t="s">
        <v>358</v>
      </c>
      <c r="F246" s="42" t="s">
        <v>126</v>
      </c>
      <c r="G246" s="51">
        <f>53333.3+0.1+12996.7</f>
        <v>66330.1</v>
      </c>
      <c r="N246" s="22"/>
    </row>
    <row r="247" spans="1:14" ht="15">
      <c r="A247" s="15" t="s">
        <v>359</v>
      </c>
      <c r="B247" s="14" t="s">
        <v>383</v>
      </c>
      <c r="C247" s="14" t="s">
        <v>388</v>
      </c>
      <c r="D247" s="1" t="s">
        <v>385</v>
      </c>
      <c r="E247" s="45" t="s">
        <v>360</v>
      </c>
      <c r="F247" s="42"/>
      <c r="G247" s="51">
        <f>G248</f>
        <v>16296.69</v>
      </c>
      <c r="N247" s="22"/>
    </row>
    <row r="248" spans="1:14" ht="15">
      <c r="A248" s="15" t="s">
        <v>123</v>
      </c>
      <c r="B248" s="14" t="s">
        <v>383</v>
      </c>
      <c r="C248" s="14" t="s">
        <v>388</v>
      </c>
      <c r="D248" s="1" t="s">
        <v>385</v>
      </c>
      <c r="E248" s="45" t="s">
        <v>360</v>
      </c>
      <c r="F248" s="42" t="s">
        <v>124</v>
      </c>
      <c r="G248" s="51">
        <f>G249</f>
        <v>16296.69</v>
      </c>
      <c r="N248" s="22"/>
    </row>
    <row r="249" spans="1:14" ht="30.75">
      <c r="A249" s="15" t="s">
        <v>125</v>
      </c>
      <c r="B249" s="14" t="s">
        <v>383</v>
      </c>
      <c r="C249" s="14" t="s">
        <v>388</v>
      </c>
      <c r="D249" s="1" t="s">
        <v>385</v>
      </c>
      <c r="E249" s="45" t="s">
        <v>360</v>
      </c>
      <c r="F249" s="42" t="s">
        <v>126</v>
      </c>
      <c r="G249" s="51">
        <f>14964.69+1332</f>
        <v>16296.69</v>
      </c>
      <c r="N249" s="22"/>
    </row>
    <row r="250" spans="1:7" ht="15.75">
      <c r="A250" s="46" t="s">
        <v>361</v>
      </c>
      <c r="B250" s="14" t="s">
        <v>383</v>
      </c>
      <c r="C250" s="14" t="s">
        <v>396</v>
      </c>
      <c r="D250" s="1"/>
      <c r="E250" s="84"/>
      <c r="F250" s="84"/>
      <c r="G250" s="63">
        <f aca="true" t="shared" si="1" ref="G250:G255">G251</f>
        <v>1478</v>
      </c>
    </row>
    <row r="251" spans="1:7" ht="15.75">
      <c r="A251" s="70" t="s">
        <v>166</v>
      </c>
      <c r="B251" s="14" t="s">
        <v>383</v>
      </c>
      <c r="C251" s="14" t="s">
        <v>396</v>
      </c>
      <c r="D251" s="1" t="s">
        <v>385</v>
      </c>
      <c r="E251" s="45" t="s">
        <v>335</v>
      </c>
      <c r="F251" s="84"/>
      <c r="G251" s="67">
        <f t="shared" si="1"/>
        <v>1478</v>
      </c>
    </row>
    <row r="252" spans="1:7" ht="20.25" customHeight="1">
      <c r="A252" s="48" t="s">
        <v>364</v>
      </c>
      <c r="B252" s="14" t="s">
        <v>383</v>
      </c>
      <c r="C252" s="14" t="s">
        <v>396</v>
      </c>
      <c r="D252" s="1" t="s">
        <v>385</v>
      </c>
      <c r="E252" s="45" t="s">
        <v>335</v>
      </c>
      <c r="F252" s="1"/>
      <c r="G252" s="51">
        <f t="shared" si="1"/>
        <v>1478</v>
      </c>
    </row>
    <row r="253" spans="1:7" ht="30.75">
      <c r="A253" s="18" t="s">
        <v>365</v>
      </c>
      <c r="B253" s="14" t="s">
        <v>383</v>
      </c>
      <c r="C253" s="14" t="s">
        <v>396</v>
      </c>
      <c r="D253" s="1" t="s">
        <v>385</v>
      </c>
      <c r="E253" s="45" t="s">
        <v>366</v>
      </c>
      <c r="F253" s="1"/>
      <c r="G253" s="51">
        <f t="shared" si="1"/>
        <v>1478</v>
      </c>
    </row>
    <row r="254" spans="1:7" ht="30.75">
      <c r="A254" s="18" t="s">
        <v>367</v>
      </c>
      <c r="B254" s="14" t="s">
        <v>383</v>
      </c>
      <c r="C254" s="14" t="s">
        <v>396</v>
      </c>
      <c r="D254" s="1" t="s">
        <v>385</v>
      </c>
      <c r="E254" s="45" t="s">
        <v>366</v>
      </c>
      <c r="F254" s="1"/>
      <c r="G254" s="51">
        <f t="shared" si="1"/>
        <v>1478</v>
      </c>
    </row>
    <row r="255" spans="1:7" ht="15">
      <c r="A255" s="15" t="s">
        <v>123</v>
      </c>
      <c r="B255" s="14" t="s">
        <v>383</v>
      </c>
      <c r="C255" s="14" t="s">
        <v>396</v>
      </c>
      <c r="D255" s="1" t="s">
        <v>385</v>
      </c>
      <c r="E255" s="45" t="s">
        <v>366</v>
      </c>
      <c r="F255" s="1" t="s">
        <v>124</v>
      </c>
      <c r="G255" s="51">
        <f t="shared" si="1"/>
        <v>1478</v>
      </c>
    </row>
    <row r="256" spans="1:7" ht="30.75">
      <c r="A256" s="15" t="s">
        <v>125</v>
      </c>
      <c r="B256" s="14" t="s">
        <v>383</v>
      </c>
      <c r="C256" s="14" t="s">
        <v>396</v>
      </c>
      <c r="D256" s="1" t="s">
        <v>385</v>
      </c>
      <c r="E256" s="45" t="s">
        <v>366</v>
      </c>
      <c r="F256" s="1" t="s">
        <v>126</v>
      </c>
      <c r="G256" s="51">
        <f>1000+380+98</f>
        <v>1478</v>
      </c>
    </row>
    <row r="257" spans="1:7" ht="15.75">
      <c r="A257" s="32" t="s">
        <v>368</v>
      </c>
      <c r="B257" s="14" t="s">
        <v>383</v>
      </c>
      <c r="C257" s="14" t="s">
        <v>389</v>
      </c>
      <c r="D257" s="14" t="s">
        <v>384</v>
      </c>
      <c r="E257" s="42" t="s">
        <v>370</v>
      </c>
      <c r="F257" s="14"/>
      <c r="G257" s="51">
        <f>G258</f>
        <v>2240</v>
      </c>
    </row>
    <row r="258" spans="1:7" ht="15">
      <c r="A258" s="78" t="s">
        <v>371</v>
      </c>
      <c r="B258" s="14" t="s">
        <v>383</v>
      </c>
      <c r="C258" s="14" t="s">
        <v>389</v>
      </c>
      <c r="D258" s="14" t="s">
        <v>384</v>
      </c>
      <c r="E258" s="42" t="s">
        <v>370</v>
      </c>
      <c r="F258" s="14"/>
      <c r="G258" s="51">
        <f>G259</f>
        <v>2240</v>
      </c>
    </row>
    <row r="259" spans="1:7" ht="15">
      <c r="A259" s="78" t="s">
        <v>372</v>
      </c>
      <c r="B259" s="14" t="s">
        <v>383</v>
      </c>
      <c r="C259" s="14" t="s">
        <v>389</v>
      </c>
      <c r="D259" s="14" t="s">
        <v>384</v>
      </c>
      <c r="E259" s="42" t="s">
        <v>370</v>
      </c>
      <c r="F259" s="14" t="s">
        <v>373</v>
      </c>
      <c r="G259" s="51">
        <f>G260</f>
        <v>2240</v>
      </c>
    </row>
    <row r="260" spans="1:7" ht="15">
      <c r="A260" s="81" t="s">
        <v>374</v>
      </c>
      <c r="B260" s="14" t="s">
        <v>383</v>
      </c>
      <c r="C260" s="14" t="s">
        <v>389</v>
      </c>
      <c r="D260" s="14" t="s">
        <v>384</v>
      </c>
      <c r="E260" s="42" t="s">
        <v>370</v>
      </c>
      <c r="F260" s="14" t="s">
        <v>375</v>
      </c>
      <c r="G260" s="51">
        <f>990+800+450</f>
        <v>2240</v>
      </c>
    </row>
    <row r="261" spans="1:7" ht="32.25">
      <c r="A261" s="32" t="s">
        <v>404</v>
      </c>
      <c r="B261" s="16" t="s">
        <v>405</v>
      </c>
      <c r="C261" s="14" t="s">
        <v>384</v>
      </c>
      <c r="D261" s="14" t="s">
        <v>390</v>
      </c>
      <c r="E261" s="21"/>
      <c r="F261" s="21"/>
      <c r="G261" s="73">
        <f>G262</f>
        <v>5132</v>
      </c>
    </row>
    <row r="262" spans="1:7" ht="48">
      <c r="A262" s="32" t="s">
        <v>113</v>
      </c>
      <c r="B262" s="16" t="s">
        <v>405</v>
      </c>
      <c r="C262" s="14" t="s">
        <v>384</v>
      </c>
      <c r="D262" s="14" t="s">
        <v>390</v>
      </c>
      <c r="E262" s="33"/>
      <c r="F262" s="16"/>
      <c r="G262" s="51">
        <f>G263</f>
        <v>5132</v>
      </c>
    </row>
    <row r="263" spans="1:7" ht="52.5" customHeight="1">
      <c r="A263" s="41" t="s">
        <v>105</v>
      </c>
      <c r="B263" s="14" t="s">
        <v>405</v>
      </c>
      <c r="C263" s="14" t="s">
        <v>384</v>
      </c>
      <c r="D263" s="14" t="s">
        <v>390</v>
      </c>
      <c r="E263" s="42" t="s">
        <v>106</v>
      </c>
      <c r="F263" s="1"/>
      <c r="G263" s="90">
        <f>G267+G264</f>
        <v>5132</v>
      </c>
    </row>
    <row r="264" spans="1:7" ht="15">
      <c r="A264" s="44" t="s">
        <v>115</v>
      </c>
      <c r="B264" s="14" t="s">
        <v>405</v>
      </c>
      <c r="C264" s="14" t="s">
        <v>384</v>
      </c>
      <c r="D264" s="14" t="s">
        <v>390</v>
      </c>
      <c r="E264" s="42" t="s">
        <v>116</v>
      </c>
      <c r="F264" s="1"/>
      <c r="G264" s="90">
        <f>G266</f>
        <v>1871</v>
      </c>
    </row>
    <row r="265" spans="1:7" ht="62.25">
      <c r="A265" s="41" t="s">
        <v>109</v>
      </c>
      <c r="B265" s="14" t="s">
        <v>405</v>
      </c>
      <c r="C265" s="14" t="s">
        <v>384</v>
      </c>
      <c r="D265" s="14" t="s">
        <v>390</v>
      </c>
      <c r="E265" s="42" t="s">
        <v>116</v>
      </c>
      <c r="F265" s="1" t="s">
        <v>110</v>
      </c>
      <c r="G265" s="90">
        <f>G266</f>
        <v>1871</v>
      </c>
    </row>
    <row r="266" spans="1:7" ht="15">
      <c r="A266" s="41" t="s">
        <v>111</v>
      </c>
      <c r="B266" s="14" t="s">
        <v>405</v>
      </c>
      <c r="C266" s="14" t="s">
        <v>384</v>
      </c>
      <c r="D266" s="14" t="s">
        <v>390</v>
      </c>
      <c r="E266" s="42" t="s">
        <v>116</v>
      </c>
      <c r="F266" s="1" t="s">
        <v>112</v>
      </c>
      <c r="G266" s="90">
        <f>1340+761-230</f>
        <v>1871</v>
      </c>
    </row>
    <row r="267" spans="1:7" ht="15">
      <c r="A267" s="41" t="s">
        <v>117</v>
      </c>
      <c r="B267" s="14" t="s">
        <v>405</v>
      </c>
      <c r="C267" s="14" t="s">
        <v>384</v>
      </c>
      <c r="D267" s="14" t="s">
        <v>390</v>
      </c>
      <c r="E267" s="45" t="s">
        <v>118</v>
      </c>
      <c r="F267" s="14"/>
      <c r="G267" s="51">
        <f>G271+G268</f>
        <v>3261</v>
      </c>
    </row>
    <row r="268" spans="1:7" ht="30.75">
      <c r="A268" s="41" t="s">
        <v>119</v>
      </c>
      <c r="B268" s="14" t="s">
        <v>405</v>
      </c>
      <c r="C268" s="14" t="s">
        <v>384</v>
      </c>
      <c r="D268" s="14" t="s">
        <v>390</v>
      </c>
      <c r="E268" s="45" t="s">
        <v>120</v>
      </c>
      <c r="F268" s="14"/>
      <c r="G268" s="51">
        <f>G269</f>
        <v>1251</v>
      </c>
    </row>
    <row r="269" spans="1:7" ht="62.25">
      <c r="A269" s="41" t="s">
        <v>109</v>
      </c>
      <c r="B269" s="14" t="s">
        <v>405</v>
      </c>
      <c r="C269" s="14" t="s">
        <v>384</v>
      </c>
      <c r="D269" s="14" t="s">
        <v>390</v>
      </c>
      <c r="E269" s="45" t="s">
        <v>120</v>
      </c>
      <c r="F269" s="14" t="s">
        <v>110</v>
      </c>
      <c r="G269" s="51">
        <f>G270</f>
        <v>1251</v>
      </c>
    </row>
    <row r="270" spans="1:7" ht="30.75">
      <c r="A270" s="41" t="s">
        <v>111</v>
      </c>
      <c r="B270" s="14" t="s">
        <v>405</v>
      </c>
      <c r="C270" s="14" t="s">
        <v>384</v>
      </c>
      <c r="D270" s="14" t="s">
        <v>390</v>
      </c>
      <c r="E270" s="45" t="s">
        <v>120</v>
      </c>
      <c r="F270" s="14" t="s">
        <v>112</v>
      </c>
      <c r="G270" s="51">
        <f>750+271+230</f>
        <v>1251</v>
      </c>
    </row>
    <row r="271" spans="1:7" ht="15">
      <c r="A271" s="41" t="s">
        <v>121</v>
      </c>
      <c r="B271" s="14" t="s">
        <v>405</v>
      </c>
      <c r="C271" s="14" t="s">
        <v>384</v>
      </c>
      <c r="D271" s="14" t="s">
        <v>390</v>
      </c>
      <c r="E271" s="45" t="s">
        <v>122</v>
      </c>
      <c r="F271" s="14"/>
      <c r="G271" s="51">
        <f>G274+G272</f>
        <v>2010</v>
      </c>
    </row>
    <row r="272" spans="1:7" ht="22.5" customHeight="1">
      <c r="A272" s="41" t="s">
        <v>123</v>
      </c>
      <c r="B272" s="14" t="s">
        <v>405</v>
      </c>
      <c r="C272" s="14" t="s">
        <v>384</v>
      </c>
      <c r="D272" s="14" t="s">
        <v>390</v>
      </c>
      <c r="E272" s="45" t="s">
        <v>122</v>
      </c>
      <c r="F272" s="14" t="s">
        <v>124</v>
      </c>
      <c r="G272" s="51">
        <f>G273</f>
        <v>1995</v>
      </c>
    </row>
    <row r="273" spans="1:7" ht="30.75">
      <c r="A273" s="41" t="s">
        <v>125</v>
      </c>
      <c r="B273" s="14" t="s">
        <v>405</v>
      </c>
      <c r="C273" s="14" t="s">
        <v>384</v>
      </c>
      <c r="D273" s="14" t="s">
        <v>390</v>
      </c>
      <c r="E273" s="45" t="s">
        <v>122</v>
      </c>
      <c r="F273" s="14" t="s">
        <v>126</v>
      </c>
      <c r="G273" s="51">
        <v>1995</v>
      </c>
    </row>
    <row r="274" spans="1:7" ht="15">
      <c r="A274" s="41" t="s">
        <v>127</v>
      </c>
      <c r="B274" s="14" t="s">
        <v>405</v>
      </c>
      <c r="C274" s="14" t="s">
        <v>384</v>
      </c>
      <c r="D274" s="14" t="s">
        <v>390</v>
      </c>
      <c r="E274" s="45" t="s">
        <v>122</v>
      </c>
      <c r="F274" s="14" t="s">
        <v>128</v>
      </c>
      <c r="G274" s="51">
        <f>G275</f>
        <v>15</v>
      </c>
    </row>
    <row r="275" spans="1:7" ht="18" customHeight="1">
      <c r="A275" s="41" t="s">
        <v>129</v>
      </c>
      <c r="B275" s="14" t="s">
        <v>405</v>
      </c>
      <c r="C275" s="14" t="s">
        <v>384</v>
      </c>
      <c r="D275" s="14" t="s">
        <v>390</v>
      </c>
      <c r="E275" s="45" t="s">
        <v>122</v>
      </c>
      <c r="F275" s="14" t="s">
        <v>130</v>
      </c>
      <c r="G275" s="51">
        <f>4+11</f>
        <v>15</v>
      </c>
    </row>
    <row r="276" spans="1:7" ht="34.5" customHeight="1">
      <c r="A276" s="32" t="s">
        <v>406</v>
      </c>
      <c r="B276" s="16" t="s">
        <v>407</v>
      </c>
      <c r="C276" s="14" t="s">
        <v>384</v>
      </c>
      <c r="D276" s="14" t="s">
        <v>408</v>
      </c>
      <c r="E276" s="21"/>
      <c r="F276" s="21"/>
      <c r="G276" s="85">
        <f>G277</f>
        <v>1782</v>
      </c>
    </row>
    <row r="277" spans="1:7" ht="30" customHeight="1">
      <c r="A277" s="93" t="s">
        <v>135</v>
      </c>
      <c r="B277" s="16" t="s">
        <v>407</v>
      </c>
      <c r="C277" s="14" t="s">
        <v>384</v>
      </c>
      <c r="D277" s="14" t="s">
        <v>408</v>
      </c>
      <c r="E277" s="33"/>
      <c r="F277" s="16"/>
      <c r="G277" s="51">
        <f>G278</f>
        <v>1782</v>
      </c>
    </row>
    <row r="278" spans="1:7" ht="39" customHeight="1">
      <c r="A278" s="41" t="s">
        <v>105</v>
      </c>
      <c r="B278" s="14" t="s">
        <v>407</v>
      </c>
      <c r="C278" s="14" t="s">
        <v>384</v>
      </c>
      <c r="D278" s="14" t="s">
        <v>408</v>
      </c>
      <c r="E278" s="42" t="s">
        <v>106</v>
      </c>
      <c r="F278" s="14"/>
      <c r="G278" s="51">
        <f>G279+G285</f>
        <v>1782</v>
      </c>
    </row>
    <row r="279" spans="1:7" ht="15">
      <c r="A279" s="44" t="s">
        <v>117</v>
      </c>
      <c r="B279" s="14" t="s">
        <v>407</v>
      </c>
      <c r="C279" s="14" t="s">
        <v>384</v>
      </c>
      <c r="D279" s="14" t="s">
        <v>408</v>
      </c>
      <c r="E279" s="42" t="s">
        <v>118</v>
      </c>
      <c r="F279" s="14"/>
      <c r="G279" s="51">
        <f>G280</f>
        <v>276</v>
      </c>
    </row>
    <row r="280" spans="1:7" ht="18" customHeight="1">
      <c r="A280" s="41" t="s">
        <v>121</v>
      </c>
      <c r="B280" s="14" t="s">
        <v>407</v>
      </c>
      <c r="C280" s="14" t="s">
        <v>384</v>
      </c>
      <c r="D280" s="14" t="s">
        <v>408</v>
      </c>
      <c r="E280" s="45" t="s">
        <v>122</v>
      </c>
      <c r="F280" s="14"/>
      <c r="G280" s="51">
        <f>G281+G283</f>
        <v>276</v>
      </c>
    </row>
    <row r="281" spans="1:7" ht="15">
      <c r="A281" s="15" t="s">
        <v>123</v>
      </c>
      <c r="B281" s="14" t="s">
        <v>407</v>
      </c>
      <c r="C281" s="14" t="s">
        <v>384</v>
      </c>
      <c r="D281" s="14" t="s">
        <v>408</v>
      </c>
      <c r="E281" s="45" t="s">
        <v>122</v>
      </c>
      <c r="F281" s="14" t="s">
        <v>124</v>
      </c>
      <c r="G281" s="51">
        <f>G282</f>
        <v>275</v>
      </c>
    </row>
    <row r="282" spans="1:7" ht="18" customHeight="1">
      <c r="A282" s="15" t="s">
        <v>125</v>
      </c>
      <c r="B282" s="14" t="s">
        <v>407</v>
      </c>
      <c r="C282" s="14" t="s">
        <v>384</v>
      </c>
      <c r="D282" s="14" t="s">
        <v>408</v>
      </c>
      <c r="E282" s="45" t="s">
        <v>122</v>
      </c>
      <c r="F282" s="14" t="s">
        <v>126</v>
      </c>
      <c r="G282" s="51">
        <v>275</v>
      </c>
    </row>
    <row r="283" spans="1:7" ht="15">
      <c r="A283" s="41" t="s">
        <v>127</v>
      </c>
      <c r="B283" s="14" t="s">
        <v>407</v>
      </c>
      <c r="C283" s="14" t="s">
        <v>384</v>
      </c>
      <c r="D283" s="14" t="s">
        <v>408</v>
      </c>
      <c r="E283" s="45" t="s">
        <v>122</v>
      </c>
      <c r="F283" s="14" t="s">
        <v>128</v>
      </c>
      <c r="G283" s="51">
        <f>G284</f>
        <v>1</v>
      </c>
    </row>
    <row r="284" spans="1:7" ht="15">
      <c r="A284" s="41" t="s">
        <v>129</v>
      </c>
      <c r="B284" s="14" t="s">
        <v>407</v>
      </c>
      <c r="C284" s="14" t="s">
        <v>384</v>
      </c>
      <c r="D284" s="14" t="s">
        <v>408</v>
      </c>
      <c r="E284" s="45" t="s">
        <v>122</v>
      </c>
      <c r="F284" s="14" t="s">
        <v>130</v>
      </c>
      <c r="G284" s="51">
        <v>1</v>
      </c>
    </row>
    <row r="285" spans="1:7" ht="15">
      <c r="A285" s="48" t="s">
        <v>137</v>
      </c>
      <c r="B285" s="14" t="s">
        <v>407</v>
      </c>
      <c r="C285" s="14" t="s">
        <v>384</v>
      </c>
      <c r="D285" s="14" t="s">
        <v>408</v>
      </c>
      <c r="E285" s="45" t="s">
        <v>118</v>
      </c>
      <c r="F285" s="14"/>
      <c r="G285" s="51">
        <f>G286</f>
        <v>1506</v>
      </c>
    </row>
    <row r="286" spans="1:7" ht="62.25">
      <c r="A286" s="41" t="s">
        <v>109</v>
      </c>
      <c r="B286" s="14" t="s">
        <v>407</v>
      </c>
      <c r="C286" s="14" t="s">
        <v>384</v>
      </c>
      <c r="D286" s="14" t="s">
        <v>408</v>
      </c>
      <c r="E286" s="42" t="s">
        <v>138</v>
      </c>
      <c r="F286" s="14" t="s">
        <v>110</v>
      </c>
      <c r="G286" s="51">
        <f>G287</f>
        <v>1506</v>
      </c>
    </row>
    <row r="287" spans="1:7" ht="15">
      <c r="A287" s="41" t="s">
        <v>111</v>
      </c>
      <c r="B287" s="14" t="s">
        <v>407</v>
      </c>
      <c r="C287" s="14" t="s">
        <v>384</v>
      </c>
      <c r="D287" s="14" t="s">
        <v>408</v>
      </c>
      <c r="E287" s="42" t="s">
        <v>138</v>
      </c>
      <c r="F287" s="14" t="s">
        <v>112</v>
      </c>
      <c r="G287" s="51">
        <f>1264+242</f>
        <v>1506</v>
      </c>
    </row>
    <row r="288" spans="1:7" ht="46.5">
      <c r="A288" s="52" t="s">
        <v>204</v>
      </c>
      <c r="B288" s="14" t="s">
        <v>409</v>
      </c>
      <c r="C288" s="14" t="s">
        <v>397</v>
      </c>
      <c r="D288" s="14" t="s">
        <v>390</v>
      </c>
      <c r="E288" s="45" t="s">
        <v>205</v>
      </c>
      <c r="F288" s="45"/>
      <c r="G288" s="63">
        <f>G289</f>
        <v>8265.18</v>
      </c>
    </row>
    <row r="289" spans="1:7" ht="15">
      <c r="A289" s="52" t="s">
        <v>271</v>
      </c>
      <c r="B289" s="14" t="s">
        <v>409</v>
      </c>
      <c r="C289" s="14" t="s">
        <v>397</v>
      </c>
      <c r="D289" s="14" t="s">
        <v>390</v>
      </c>
      <c r="E289" s="45" t="s">
        <v>272</v>
      </c>
      <c r="F289" s="45"/>
      <c r="G289" s="67">
        <f>G290</f>
        <v>8265.18</v>
      </c>
    </row>
    <row r="290" spans="1:7" ht="15">
      <c r="A290" s="57" t="s">
        <v>298</v>
      </c>
      <c r="B290" s="14" t="s">
        <v>409</v>
      </c>
      <c r="C290" s="14" t="s">
        <v>397</v>
      </c>
      <c r="D290" s="14" t="s">
        <v>390</v>
      </c>
      <c r="E290" s="45" t="s">
        <v>299</v>
      </c>
      <c r="F290" s="45"/>
      <c r="G290" s="51">
        <f>G291</f>
        <v>8265.18</v>
      </c>
    </row>
    <row r="291" spans="1:7" ht="15">
      <c r="A291" s="15" t="s">
        <v>300</v>
      </c>
      <c r="B291" s="14" t="s">
        <v>409</v>
      </c>
      <c r="C291" s="14" t="s">
        <v>397</v>
      </c>
      <c r="D291" s="14" t="s">
        <v>390</v>
      </c>
      <c r="E291" s="45" t="s">
        <v>301</v>
      </c>
      <c r="F291" s="45"/>
      <c r="G291" s="51">
        <f>G292</f>
        <v>8265.18</v>
      </c>
    </row>
    <row r="292" spans="1:7" ht="46.5">
      <c r="A292" s="41" t="s">
        <v>302</v>
      </c>
      <c r="B292" s="14" t="s">
        <v>409</v>
      </c>
      <c r="C292" s="14" t="s">
        <v>397</v>
      </c>
      <c r="D292" s="14" t="s">
        <v>390</v>
      </c>
      <c r="E292" s="45" t="s">
        <v>301</v>
      </c>
      <c r="F292" s="45"/>
      <c r="G292" s="51">
        <f>G293+G296+G298</f>
        <v>8265.18</v>
      </c>
    </row>
    <row r="293" spans="1:7" ht="62.25">
      <c r="A293" s="41" t="s">
        <v>109</v>
      </c>
      <c r="B293" s="14" t="s">
        <v>409</v>
      </c>
      <c r="C293" s="14" t="s">
        <v>397</v>
      </c>
      <c r="D293" s="14" t="s">
        <v>390</v>
      </c>
      <c r="E293" s="45" t="s">
        <v>301</v>
      </c>
      <c r="F293" s="45"/>
      <c r="G293" s="51">
        <f>G294</f>
        <v>6245.4</v>
      </c>
    </row>
    <row r="294" spans="1:7" ht="15">
      <c r="A294" s="41" t="s">
        <v>170</v>
      </c>
      <c r="B294" s="14" t="s">
        <v>409</v>
      </c>
      <c r="C294" s="14" t="s">
        <v>397</v>
      </c>
      <c r="D294" s="14" t="s">
        <v>390</v>
      </c>
      <c r="E294" s="45" t="s">
        <v>301</v>
      </c>
      <c r="F294" s="45" t="s">
        <v>110</v>
      </c>
      <c r="G294" s="51">
        <f>G295</f>
        <v>6245.4</v>
      </c>
    </row>
    <row r="295" spans="1:7" ht="15">
      <c r="A295" s="52" t="s">
        <v>123</v>
      </c>
      <c r="B295" s="14" t="s">
        <v>409</v>
      </c>
      <c r="C295" s="14" t="s">
        <v>397</v>
      </c>
      <c r="D295" s="14" t="s">
        <v>390</v>
      </c>
      <c r="E295" s="45" t="s">
        <v>301</v>
      </c>
      <c r="F295" s="45" t="s">
        <v>171</v>
      </c>
      <c r="G295" s="51">
        <f>5845.4+400</f>
        <v>6245.4</v>
      </c>
    </row>
    <row r="296" spans="1:7" ht="30.75">
      <c r="A296" s="52" t="s">
        <v>125</v>
      </c>
      <c r="B296" s="14" t="s">
        <v>409</v>
      </c>
      <c r="C296" s="14" t="s">
        <v>397</v>
      </c>
      <c r="D296" s="14" t="s">
        <v>390</v>
      </c>
      <c r="E296" s="45" t="s">
        <v>301</v>
      </c>
      <c r="F296" s="45" t="s">
        <v>124</v>
      </c>
      <c r="G296" s="51">
        <f>G297</f>
        <v>2009.7799999999997</v>
      </c>
    </row>
    <row r="297" spans="1:7" ht="15">
      <c r="A297" s="41" t="s">
        <v>127</v>
      </c>
      <c r="B297" s="14" t="s">
        <v>409</v>
      </c>
      <c r="C297" s="14" t="s">
        <v>397</v>
      </c>
      <c r="D297" s="14" t="s">
        <v>390</v>
      </c>
      <c r="E297" s="45" t="s">
        <v>301</v>
      </c>
      <c r="F297" s="45" t="s">
        <v>126</v>
      </c>
      <c r="G297" s="51">
        <f>2590-10+700+1000-1000-400+1836.78-2907+200</f>
        <v>2009.7799999999997</v>
      </c>
    </row>
    <row r="298" spans="1:7" ht="15">
      <c r="A298" s="41" t="s">
        <v>129</v>
      </c>
      <c r="B298" s="14" t="s">
        <v>409</v>
      </c>
      <c r="C298" s="14" t="s">
        <v>397</v>
      </c>
      <c r="D298" s="14" t="s">
        <v>390</v>
      </c>
      <c r="E298" s="45" t="s">
        <v>301</v>
      </c>
      <c r="F298" s="45" t="s">
        <v>128</v>
      </c>
      <c r="G298" s="51">
        <f>G299</f>
        <v>10</v>
      </c>
    </row>
    <row r="299" spans="1:7" ht="15">
      <c r="A299" s="41" t="s">
        <v>129</v>
      </c>
      <c r="B299" s="14" t="s">
        <v>409</v>
      </c>
      <c r="C299" s="14" t="s">
        <v>397</v>
      </c>
      <c r="D299" s="14" t="s">
        <v>390</v>
      </c>
      <c r="E299" s="45" t="s">
        <v>301</v>
      </c>
      <c r="F299" s="45" t="s">
        <v>130</v>
      </c>
      <c r="G299" s="51">
        <v>10</v>
      </c>
    </row>
    <row r="300" spans="1:7" ht="15">
      <c r="A300" s="52" t="s">
        <v>166</v>
      </c>
      <c r="B300" s="14" t="s">
        <v>410</v>
      </c>
      <c r="C300" s="14" t="s">
        <v>384</v>
      </c>
      <c r="D300" s="14" t="s">
        <v>389</v>
      </c>
      <c r="E300" s="42" t="s">
        <v>167</v>
      </c>
      <c r="F300" s="14"/>
      <c r="G300" s="73">
        <f>G301</f>
        <v>12409</v>
      </c>
    </row>
    <row r="301" spans="1:7" ht="46.5">
      <c r="A301" s="41" t="s">
        <v>168</v>
      </c>
      <c r="B301" s="14" t="s">
        <v>410</v>
      </c>
      <c r="C301" s="14" t="s">
        <v>384</v>
      </c>
      <c r="D301" s="14" t="s">
        <v>389</v>
      </c>
      <c r="E301" s="42" t="s">
        <v>169</v>
      </c>
      <c r="F301" s="14"/>
      <c r="G301" s="51">
        <f>G302+G304+G306</f>
        <v>12409</v>
      </c>
    </row>
    <row r="302" spans="1:7" ht="48" customHeight="1">
      <c r="A302" s="41" t="s">
        <v>109</v>
      </c>
      <c r="B302" s="14" t="s">
        <v>410</v>
      </c>
      <c r="C302" s="14" t="s">
        <v>384</v>
      </c>
      <c r="D302" s="14" t="s">
        <v>389</v>
      </c>
      <c r="E302" s="42" t="s">
        <v>169</v>
      </c>
      <c r="F302" s="45" t="s">
        <v>110</v>
      </c>
      <c r="G302" s="51">
        <f>G303</f>
        <v>11293</v>
      </c>
    </row>
    <row r="303" spans="1:7" ht="15">
      <c r="A303" s="41" t="s">
        <v>170</v>
      </c>
      <c r="B303" s="14" t="s">
        <v>410</v>
      </c>
      <c r="C303" s="14" t="s">
        <v>384</v>
      </c>
      <c r="D303" s="14" t="s">
        <v>389</v>
      </c>
      <c r="E303" s="42" t="s">
        <v>169</v>
      </c>
      <c r="F303" s="45" t="s">
        <v>171</v>
      </c>
      <c r="G303" s="51">
        <f>9265-5+2033</f>
        <v>11293</v>
      </c>
    </row>
    <row r="304" spans="1:7" ht="15">
      <c r="A304" s="52" t="s">
        <v>123</v>
      </c>
      <c r="B304" s="14" t="s">
        <v>410</v>
      </c>
      <c r="C304" s="14" t="s">
        <v>384</v>
      </c>
      <c r="D304" s="14" t="s">
        <v>389</v>
      </c>
      <c r="E304" s="42" t="s">
        <v>169</v>
      </c>
      <c r="F304" s="45" t="s">
        <v>124</v>
      </c>
      <c r="G304" s="51">
        <f>G305</f>
        <v>1113</v>
      </c>
    </row>
    <row r="305" spans="1:7" ht="30.75">
      <c r="A305" s="52" t="s">
        <v>125</v>
      </c>
      <c r="B305" s="14" t="s">
        <v>410</v>
      </c>
      <c r="C305" s="14" t="s">
        <v>384</v>
      </c>
      <c r="D305" s="14" t="s">
        <v>389</v>
      </c>
      <c r="E305" s="42" t="s">
        <v>169</v>
      </c>
      <c r="F305" s="45" t="s">
        <v>126</v>
      </c>
      <c r="G305" s="51">
        <f>435+300+154+65.7+70.3+5-1.5+86-7.5+6</f>
        <v>1113</v>
      </c>
    </row>
    <row r="306" spans="1:7" ht="18" customHeight="1">
      <c r="A306" s="41" t="s">
        <v>127</v>
      </c>
      <c r="B306" s="14" t="s">
        <v>410</v>
      </c>
      <c r="C306" s="14" t="s">
        <v>384</v>
      </c>
      <c r="D306" s="14" t="s">
        <v>389</v>
      </c>
      <c r="E306" s="42" t="s">
        <v>169</v>
      </c>
      <c r="F306" s="45" t="s">
        <v>128</v>
      </c>
      <c r="G306" s="51">
        <f>G307</f>
        <v>3</v>
      </c>
    </row>
    <row r="307" spans="1:7" ht="15">
      <c r="A307" s="41" t="s">
        <v>129</v>
      </c>
      <c r="B307" s="14" t="s">
        <v>410</v>
      </c>
      <c r="C307" s="14" t="s">
        <v>384</v>
      </c>
      <c r="D307" s="14" t="s">
        <v>389</v>
      </c>
      <c r="E307" s="42" t="s">
        <v>169</v>
      </c>
      <c r="F307" s="45" t="s">
        <v>130</v>
      </c>
      <c r="G307" s="51">
        <v>3</v>
      </c>
    </row>
    <row r="308" spans="1:7" ht="21.75" customHeight="1">
      <c r="A308" s="94" t="s">
        <v>376</v>
      </c>
      <c r="B308" s="94"/>
      <c r="C308" s="95"/>
      <c r="D308" s="95"/>
      <c r="E308" s="96"/>
      <c r="F308" s="95"/>
      <c r="G308" s="97">
        <f>G300+G288+G276+G261+G16</f>
        <v>513169.45005999994</v>
      </c>
    </row>
    <row r="310" ht="15">
      <c r="E310" s="10"/>
    </row>
    <row r="314" ht="42" customHeight="1"/>
    <row r="320" ht="15">
      <c r="L320" s="10"/>
    </row>
    <row r="322" ht="15">
      <c r="N322" s="10"/>
    </row>
    <row r="323" ht="15">
      <c r="Q323" s="10"/>
    </row>
  </sheetData>
  <sheetProtection selectLockedCells="1" selectUnlockedCells="1"/>
  <autoFilter ref="A15:F274"/>
  <mergeCells count="1">
    <mergeCell ref="A13:G13"/>
  </mergeCells>
  <printOptions/>
  <pageMargins left="0.7874015748031497" right="0.3937007874015748" top="0.5118110236220472" bottom="0.7086614173228347" header="0.5118110236220472" footer="0.31496062992125984"/>
  <pageSetup horizontalDpi="300" verticalDpi="300" orientation="portrait" paperSize="9" scale="75" r:id="rId1"/>
  <headerFooter alignWithMargins="0">
    <oddFooter>&amp;L139/мз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D35"/>
  <sheetViews>
    <sheetView zoomScaleSheetLayoutView="100" zoomScalePageLayoutView="0" workbookViewId="0" topLeftCell="A1">
      <selection activeCell="B2" sqref="B2:B5"/>
    </sheetView>
  </sheetViews>
  <sheetFormatPr defaultColWidth="9.125" defaultRowHeight="12.75"/>
  <cols>
    <col min="1" max="1" width="59.50390625" style="9" customWidth="1"/>
    <col min="2" max="2" width="33.875" style="9" customWidth="1"/>
    <col min="3" max="6" width="10.50390625" style="9" customWidth="1"/>
    <col min="7" max="16384" width="9.125" style="9" customWidth="1"/>
  </cols>
  <sheetData>
    <row r="1" spans="2:3" ht="15">
      <c r="B1" s="249" t="s">
        <v>411</v>
      </c>
      <c r="C1" s="250"/>
    </row>
    <row r="2" spans="2:3" ht="15">
      <c r="B2" s="9" t="s">
        <v>738</v>
      </c>
      <c r="C2" s="250"/>
    </row>
    <row r="3" spans="2:3" ht="15">
      <c r="B3" s="9" t="s">
        <v>739</v>
      </c>
      <c r="C3" s="250"/>
    </row>
    <row r="4" spans="2:3" ht="15">
      <c r="B4" s="9" t="s">
        <v>740</v>
      </c>
      <c r="C4" s="226"/>
    </row>
    <row r="5" spans="2:3" ht="15">
      <c r="B5" s="9" t="s">
        <v>741</v>
      </c>
      <c r="C5" s="226"/>
    </row>
    <row r="6" spans="2:3" ht="15">
      <c r="B6" s="27" t="s">
        <v>90</v>
      </c>
      <c r="C6" s="23"/>
    </row>
    <row r="7" spans="2:3" ht="15">
      <c r="B7" s="27"/>
      <c r="C7" s="23"/>
    </row>
    <row r="8" spans="2:3" ht="15">
      <c r="B8" s="249" t="s">
        <v>411</v>
      </c>
      <c r="C8" s="250"/>
    </row>
    <row r="9" spans="2:3" ht="15">
      <c r="B9" s="249" t="s">
        <v>86</v>
      </c>
      <c r="C9" s="250"/>
    </row>
    <row r="10" spans="2:3" ht="15">
      <c r="B10" s="249" t="s">
        <v>87</v>
      </c>
      <c r="C10" s="250"/>
    </row>
    <row r="11" spans="2:3" ht="15">
      <c r="B11" s="249" t="s">
        <v>88</v>
      </c>
      <c r="C11" s="226"/>
    </row>
    <row r="12" spans="2:3" ht="15">
      <c r="B12" s="249" t="s">
        <v>89</v>
      </c>
      <c r="C12" s="226"/>
    </row>
    <row r="13" spans="2:3" ht="15">
      <c r="B13" s="27" t="s">
        <v>378</v>
      </c>
      <c r="C13" s="23"/>
    </row>
    <row r="14" ht="3" customHeight="1" hidden="1"/>
    <row r="15" spans="1:3" ht="30" customHeight="1">
      <c r="A15" s="263" t="s">
        <v>693</v>
      </c>
      <c r="B15" s="263"/>
      <c r="C15" s="263"/>
    </row>
    <row r="16" ht="21.75" customHeight="1">
      <c r="C16" s="9" t="s">
        <v>93</v>
      </c>
    </row>
    <row r="17" spans="1:3" ht="15" customHeight="1">
      <c r="A17" s="20" t="s">
        <v>94</v>
      </c>
      <c r="B17" s="20" t="s">
        <v>694</v>
      </c>
      <c r="C17" s="20" t="s">
        <v>84</v>
      </c>
    </row>
    <row r="18" spans="1:3" ht="49.5" customHeight="1">
      <c r="A18" s="251" t="s">
        <v>695</v>
      </c>
      <c r="B18" s="44"/>
      <c r="C18" s="98">
        <f>C29+C19</f>
        <v>48248.40000000002</v>
      </c>
    </row>
    <row r="19" spans="1:3" ht="32.25" customHeight="1">
      <c r="A19" s="251" t="s">
        <v>696</v>
      </c>
      <c r="B19" s="20" t="s">
        <v>697</v>
      </c>
      <c r="C19" s="98">
        <f>C20+C22</f>
        <v>15000</v>
      </c>
    </row>
    <row r="20" spans="1:3" ht="39" customHeight="1">
      <c r="A20" s="252" t="s">
        <v>698</v>
      </c>
      <c r="B20" s="20" t="s">
        <v>699</v>
      </c>
      <c r="C20" s="98">
        <f>C21</f>
        <v>25000</v>
      </c>
    </row>
    <row r="21" spans="1:3" ht="48.75" customHeight="1">
      <c r="A21" s="252" t="s">
        <v>700</v>
      </c>
      <c r="B21" s="20" t="s">
        <v>701</v>
      </c>
      <c r="C21" s="98">
        <v>25000</v>
      </c>
    </row>
    <row r="22" spans="1:3" ht="45.75" customHeight="1">
      <c r="A22" s="252" t="s">
        <v>702</v>
      </c>
      <c r="B22" s="20" t="s">
        <v>703</v>
      </c>
      <c r="C22" s="98">
        <f>C23</f>
        <v>-10000</v>
      </c>
    </row>
    <row r="23" spans="1:3" ht="50.25" customHeight="1">
      <c r="A23" s="252" t="s">
        <v>704</v>
      </c>
      <c r="B23" s="20" t="s">
        <v>705</v>
      </c>
      <c r="C23" s="98">
        <v>-10000</v>
      </c>
    </row>
    <row r="24" spans="1:3" ht="54.75" customHeight="1">
      <c r="A24" s="251" t="s">
        <v>706</v>
      </c>
      <c r="B24" s="20" t="s">
        <v>707</v>
      </c>
      <c r="C24" s="253">
        <f>C25+C27</f>
        <v>0</v>
      </c>
    </row>
    <row r="25" spans="1:3" ht="51.75" customHeight="1">
      <c r="A25" s="252" t="s">
        <v>708</v>
      </c>
      <c r="B25" s="20" t="s">
        <v>709</v>
      </c>
      <c r="C25" s="98">
        <v>0</v>
      </c>
    </row>
    <row r="26" spans="1:3" ht="66" customHeight="1">
      <c r="A26" s="252" t="s">
        <v>710</v>
      </c>
      <c r="B26" s="20" t="s">
        <v>711</v>
      </c>
      <c r="C26" s="98">
        <v>0</v>
      </c>
    </row>
    <row r="27" spans="1:3" ht="66" customHeight="1">
      <c r="A27" s="252" t="s">
        <v>712</v>
      </c>
      <c r="B27" s="20" t="s">
        <v>713</v>
      </c>
      <c r="C27" s="98">
        <v>0</v>
      </c>
    </row>
    <row r="28" spans="1:3" ht="64.5" customHeight="1">
      <c r="A28" s="252" t="s">
        <v>714</v>
      </c>
      <c r="B28" s="20" t="s">
        <v>715</v>
      </c>
      <c r="C28" s="98">
        <v>0</v>
      </c>
    </row>
    <row r="29" spans="1:4" ht="34.5" customHeight="1">
      <c r="A29" s="251" t="s">
        <v>716</v>
      </c>
      <c r="B29" s="20" t="s">
        <v>717</v>
      </c>
      <c r="C29" s="98">
        <f>C33+C30</f>
        <v>33248.40000000002</v>
      </c>
      <c r="D29" s="10"/>
    </row>
    <row r="30" spans="1:3" ht="20.25" customHeight="1">
      <c r="A30" s="251" t="s">
        <v>718</v>
      </c>
      <c r="B30" s="20" t="s">
        <v>719</v>
      </c>
      <c r="C30" s="98">
        <f>C31</f>
        <v>-489921.1</v>
      </c>
    </row>
    <row r="31" spans="1:3" ht="30" customHeight="1">
      <c r="A31" s="252" t="s">
        <v>720</v>
      </c>
      <c r="B31" s="20" t="s">
        <v>721</v>
      </c>
      <c r="C31" s="98">
        <f>C32</f>
        <v>-489921.1</v>
      </c>
    </row>
    <row r="32" spans="1:3" ht="32.25" customHeight="1">
      <c r="A32" s="252" t="s">
        <v>722</v>
      </c>
      <c r="B32" s="20" t="s">
        <v>723</v>
      </c>
      <c r="C32" s="98">
        <f>-454821.1-25000-10100</f>
        <v>-489921.1</v>
      </c>
    </row>
    <row r="33" spans="1:3" ht="19.5" customHeight="1">
      <c r="A33" s="251" t="s">
        <v>724</v>
      </c>
      <c r="B33" s="20" t="s">
        <v>725</v>
      </c>
      <c r="C33" s="98">
        <f>C34</f>
        <v>523169.5</v>
      </c>
    </row>
    <row r="34" spans="1:3" ht="32.25" customHeight="1">
      <c r="A34" s="252" t="s">
        <v>726</v>
      </c>
      <c r="B34" s="20" t="s">
        <v>727</v>
      </c>
      <c r="C34" s="98">
        <f>C35</f>
        <v>523169.5</v>
      </c>
    </row>
    <row r="35" spans="1:3" ht="30.75" customHeight="1">
      <c r="A35" s="252" t="s">
        <v>728</v>
      </c>
      <c r="B35" s="20" t="s">
        <v>729</v>
      </c>
      <c r="C35" s="98">
        <f>503069.5+10000+10100</f>
        <v>523169.5</v>
      </c>
    </row>
  </sheetData>
  <sheetProtection selectLockedCells="1" selectUnlockedCells="1"/>
  <mergeCells count="1">
    <mergeCell ref="A15:C15"/>
  </mergeCells>
  <printOptions/>
  <pageMargins left="0.8267716535433072" right="0.3937007874015748" top="1.062992125984252" bottom="0.984251968503937" header="0.3937007874015748" footer="0.3937007874015748"/>
  <pageSetup fitToHeight="2" fitToWidth="1" horizontalDpi="300" verticalDpi="300" orientation="portrait" paperSize="9" scale="88" r:id="rId1"/>
  <headerFooter alignWithMargins="0">
    <oddHeader>&amp;Rстр. &amp;P из&amp;N</oddHeader>
    <oddFooter>&amp;L139/мз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9"/>
  </sheetPr>
  <dimension ref="A1:E294"/>
  <sheetViews>
    <sheetView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78.875" style="9" customWidth="1"/>
    <col min="2" max="2" width="19.125" style="99" customWidth="1"/>
    <col min="3" max="3" width="6.875" style="100" customWidth="1"/>
    <col min="4" max="4" width="13.125" style="101" customWidth="1"/>
    <col min="5" max="5" width="13.875" style="10" customWidth="1"/>
    <col min="6" max="16384" width="8.875" style="9" customWidth="1"/>
  </cols>
  <sheetData>
    <row r="1" ht="15">
      <c r="B1" s="9" t="s">
        <v>692</v>
      </c>
    </row>
    <row r="2" ht="15">
      <c r="B2" s="9" t="s">
        <v>738</v>
      </c>
    </row>
    <row r="3" ht="15">
      <c r="B3" s="9" t="s">
        <v>739</v>
      </c>
    </row>
    <row r="4" ht="15">
      <c r="B4" s="9" t="s">
        <v>740</v>
      </c>
    </row>
    <row r="5" ht="15">
      <c r="B5" s="9" t="s">
        <v>741</v>
      </c>
    </row>
    <row r="6" spans="2:4" ht="15">
      <c r="B6" s="27" t="s">
        <v>90</v>
      </c>
      <c r="C6" s="102"/>
      <c r="D6" s="103"/>
    </row>
    <row r="7" ht="15">
      <c r="B7" s="9" t="s">
        <v>414</v>
      </c>
    </row>
    <row r="8" ht="15">
      <c r="B8" s="9" t="s">
        <v>412</v>
      </c>
    </row>
    <row r="9" ht="15">
      <c r="B9" s="9" t="s">
        <v>87</v>
      </c>
    </row>
    <row r="10" ht="15">
      <c r="B10" s="9" t="s">
        <v>413</v>
      </c>
    </row>
    <row r="11" ht="15">
      <c r="B11" s="9" t="s">
        <v>89</v>
      </c>
    </row>
    <row r="12" spans="2:4" ht="15">
      <c r="B12" s="27" t="s">
        <v>91</v>
      </c>
      <c r="C12" s="102"/>
      <c r="D12" s="103"/>
    </row>
    <row r="13" spans="2:4" ht="15">
      <c r="B13" s="27"/>
      <c r="C13" s="102"/>
      <c r="D13" s="103"/>
    </row>
    <row r="14" spans="1:4" ht="57.75" customHeight="1">
      <c r="A14" s="256" t="s">
        <v>415</v>
      </c>
      <c r="B14" s="256"/>
      <c r="C14" s="256"/>
      <c r="D14" s="256"/>
    </row>
    <row r="15" ht="29.25" customHeight="1" hidden="1">
      <c r="B15" s="27"/>
    </row>
    <row r="16" spans="1:4" ht="27" customHeight="1">
      <c r="A16" s="104"/>
      <c r="B16" s="105"/>
      <c r="C16" s="106"/>
      <c r="D16" s="107" t="s">
        <v>93</v>
      </c>
    </row>
    <row r="17" spans="1:4" ht="15">
      <c r="A17" s="12" t="s">
        <v>83</v>
      </c>
      <c r="B17" s="16" t="s">
        <v>99</v>
      </c>
      <c r="C17" s="16" t="s">
        <v>100</v>
      </c>
      <c r="D17" s="13" t="s">
        <v>416</v>
      </c>
    </row>
    <row r="18" spans="1:5" s="19" customFormat="1" ht="46.5">
      <c r="A18" s="108" t="s">
        <v>417</v>
      </c>
      <c r="B18" s="38" t="s">
        <v>153</v>
      </c>
      <c r="C18" s="14"/>
      <c r="D18" s="53">
        <f>D19+D25+D28+D22+D31</f>
        <v>726.0999999999999</v>
      </c>
      <c r="E18" s="213"/>
    </row>
    <row r="19" spans="1:5" s="19" customFormat="1" ht="15">
      <c r="A19" s="55" t="s">
        <v>181</v>
      </c>
      <c r="B19" s="42" t="s">
        <v>183</v>
      </c>
      <c r="C19" s="20"/>
      <c r="D19" s="43">
        <f>D20</f>
        <v>7.5</v>
      </c>
      <c r="E19" s="213"/>
    </row>
    <row r="20" spans="1:5" s="19" customFormat="1" ht="15">
      <c r="A20" s="52" t="s">
        <v>123</v>
      </c>
      <c r="B20" s="42" t="s">
        <v>183</v>
      </c>
      <c r="C20" s="109" t="s">
        <v>124</v>
      </c>
      <c r="D20" s="43">
        <f>D21</f>
        <v>7.5</v>
      </c>
      <c r="E20" s="213"/>
    </row>
    <row r="21" spans="1:5" s="19" customFormat="1" ht="15">
      <c r="A21" s="52" t="s">
        <v>125</v>
      </c>
      <c r="B21" s="42" t="s">
        <v>183</v>
      </c>
      <c r="C21" s="109" t="s">
        <v>126</v>
      </c>
      <c r="D21" s="43">
        <v>7.5</v>
      </c>
      <c r="E21" s="213"/>
    </row>
    <row r="22" spans="1:5" s="19" customFormat="1" ht="15">
      <c r="A22" s="55" t="s">
        <v>186</v>
      </c>
      <c r="B22" s="42" t="s">
        <v>188</v>
      </c>
      <c r="C22" s="1"/>
      <c r="D22" s="43">
        <f>D23</f>
        <v>132.2</v>
      </c>
      <c r="E22" s="213"/>
    </row>
    <row r="23" spans="1:5" s="19" customFormat="1" ht="15">
      <c r="A23" s="52" t="s">
        <v>123</v>
      </c>
      <c r="B23" s="42" t="s">
        <v>188</v>
      </c>
      <c r="C23" s="109" t="s">
        <v>124</v>
      </c>
      <c r="D23" s="43">
        <f>D24</f>
        <v>132.2</v>
      </c>
      <c r="E23" s="213"/>
    </row>
    <row r="24" spans="1:5" s="19" customFormat="1" ht="15">
      <c r="A24" s="52" t="s">
        <v>125</v>
      </c>
      <c r="B24" s="42" t="s">
        <v>188</v>
      </c>
      <c r="C24" s="109" t="s">
        <v>126</v>
      </c>
      <c r="D24" s="43">
        <f>99.7+32.5</f>
        <v>132.2</v>
      </c>
      <c r="E24" s="213"/>
    </row>
    <row r="25" spans="1:5" s="19" customFormat="1" ht="15">
      <c r="A25" s="55" t="s">
        <v>189</v>
      </c>
      <c r="B25" s="42" t="s">
        <v>190</v>
      </c>
      <c r="C25" s="1"/>
      <c r="D25" s="43">
        <f>D26</f>
        <v>53.3</v>
      </c>
      <c r="E25" s="213"/>
    </row>
    <row r="26" spans="1:5" s="19" customFormat="1" ht="15">
      <c r="A26" s="52" t="s">
        <v>123</v>
      </c>
      <c r="B26" s="42" t="s">
        <v>190</v>
      </c>
      <c r="C26" s="109" t="s">
        <v>124</v>
      </c>
      <c r="D26" s="43">
        <f>D27</f>
        <v>53.3</v>
      </c>
      <c r="E26" s="213"/>
    </row>
    <row r="27" spans="1:5" s="19" customFormat="1" ht="15">
      <c r="A27" s="52" t="s">
        <v>125</v>
      </c>
      <c r="B27" s="42" t="s">
        <v>190</v>
      </c>
      <c r="C27" s="109" t="s">
        <v>126</v>
      </c>
      <c r="D27" s="43">
        <v>53.3</v>
      </c>
      <c r="E27" s="213"/>
    </row>
    <row r="28" spans="1:5" s="19" customFormat="1" ht="30.75">
      <c r="A28" s="54" t="s">
        <v>184</v>
      </c>
      <c r="B28" s="42" t="s">
        <v>185</v>
      </c>
      <c r="C28" s="1"/>
      <c r="D28" s="43">
        <f>D29</f>
        <v>33.099999999999994</v>
      </c>
      <c r="E28" s="213"/>
    </row>
    <row r="29" spans="1:5" s="19" customFormat="1" ht="15">
      <c r="A29" s="52" t="s">
        <v>123</v>
      </c>
      <c r="B29" s="42" t="s">
        <v>185</v>
      </c>
      <c r="C29" s="109" t="s">
        <v>124</v>
      </c>
      <c r="D29" s="43">
        <f>D30</f>
        <v>33.099999999999994</v>
      </c>
      <c r="E29" s="213"/>
    </row>
    <row r="30" spans="1:5" s="19" customFormat="1" ht="15">
      <c r="A30" s="52" t="s">
        <v>125</v>
      </c>
      <c r="B30" s="42" t="s">
        <v>185</v>
      </c>
      <c r="C30" s="109" t="s">
        <v>126</v>
      </c>
      <c r="D30" s="43">
        <f>8.6+57-32.5</f>
        <v>33.099999999999994</v>
      </c>
      <c r="E30" s="213"/>
    </row>
    <row r="31" spans="1:5" s="19" customFormat="1" ht="30.75">
      <c r="A31" s="50" t="s">
        <v>154</v>
      </c>
      <c r="B31" s="42" t="s">
        <v>155</v>
      </c>
      <c r="C31" s="109"/>
      <c r="D31" s="43">
        <f>D32</f>
        <v>500</v>
      </c>
      <c r="E31" s="213"/>
    </row>
    <row r="32" spans="1:5" s="19" customFormat="1" ht="15">
      <c r="A32" s="41" t="s">
        <v>127</v>
      </c>
      <c r="B32" s="42" t="s">
        <v>155</v>
      </c>
      <c r="C32" s="14" t="s">
        <v>128</v>
      </c>
      <c r="D32" s="43">
        <f>D33</f>
        <v>500</v>
      </c>
      <c r="E32" s="213"/>
    </row>
    <row r="33" spans="1:5" s="19" customFormat="1" ht="15">
      <c r="A33" s="44" t="s">
        <v>150</v>
      </c>
      <c r="B33" s="42" t="s">
        <v>155</v>
      </c>
      <c r="C33" s="14" t="s">
        <v>151</v>
      </c>
      <c r="D33" s="43">
        <v>500</v>
      </c>
      <c r="E33" s="213"/>
    </row>
    <row r="34" spans="1:5" s="19" customFormat="1" ht="46.5">
      <c r="A34" s="108" t="s">
        <v>195</v>
      </c>
      <c r="B34" s="38" t="s">
        <v>196</v>
      </c>
      <c r="C34" s="110"/>
      <c r="D34" s="13">
        <f>D35</f>
        <v>86175.77999999998</v>
      </c>
      <c r="E34" s="213"/>
    </row>
    <row r="35" spans="1:5" s="19" customFormat="1" ht="15">
      <c r="A35" s="54" t="s">
        <v>197</v>
      </c>
      <c r="B35" s="42" t="s">
        <v>199</v>
      </c>
      <c r="C35" s="14"/>
      <c r="D35" s="43">
        <f>D36+D40+D43+D38</f>
        <v>86175.77999999998</v>
      </c>
      <c r="E35" s="213"/>
    </row>
    <row r="36" spans="1:5" s="19" customFormat="1" ht="15">
      <c r="A36" s="52" t="s">
        <v>198</v>
      </c>
      <c r="B36" s="42" t="s">
        <v>199</v>
      </c>
      <c r="C36" s="14" t="s">
        <v>124</v>
      </c>
      <c r="D36" s="43">
        <f>D37</f>
        <v>45723.79999999999</v>
      </c>
      <c r="E36" s="213"/>
    </row>
    <row r="37" spans="1:5" s="19" customFormat="1" ht="15">
      <c r="A37" s="52" t="s">
        <v>123</v>
      </c>
      <c r="B37" s="42" t="s">
        <v>199</v>
      </c>
      <c r="C37" s="14" t="s">
        <v>126</v>
      </c>
      <c r="D37" s="43">
        <f>15135.7-700-1324.4-6100.6+200+120+2035.3+50000+15976.9-8610.8-9478.4-500-8771.9-1638-70-500-50</f>
        <v>45723.79999999999</v>
      </c>
      <c r="E37" s="10"/>
    </row>
    <row r="38" spans="1:5" s="19" customFormat="1" ht="15">
      <c r="A38" s="52" t="s">
        <v>127</v>
      </c>
      <c r="B38" s="42" t="s">
        <v>199</v>
      </c>
      <c r="C38" s="14" t="s">
        <v>128</v>
      </c>
      <c r="D38" s="43">
        <f>D39</f>
        <v>200</v>
      </c>
      <c r="E38" s="10"/>
    </row>
    <row r="39" spans="1:5" s="19" customFormat="1" ht="15">
      <c r="A39" s="52" t="s">
        <v>129</v>
      </c>
      <c r="B39" s="42" t="s">
        <v>199</v>
      </c>
      <c r="C39" s="14" t="s">
        <v>130</v>
      </c>
      <c r="D39" s="43">
        <v>200</v>
      </c>
      <c r="E39" s="10"/>
    </row>
    <row r="40" spans="1:5" s="19" customFormat="1" ht="15">
      <c r="A40" s="52" t="s">
        <v>200</v>
      </c>
      <c r="B40" s="42" t="s">
        <v>201</v>
      </c>
      <c r="C40" s="109"/>
      <c r="D40" s="43">
        <f>D41</f>
        <v>28534.78</v>
      </c>
      <c r="E40" s="213"/>
    </row>
    <row r="41" spans="1:5" s="19" customFormat="1" ht="15">
      <c r="A41" s="52" t="s">
        <v>123</v>
      </c>
      <c r="B41" s="42" t="s">
        <v>201</v>
      </c>
      <c r="C41" s="109" t="s">
        <v>124</v>
      </c>
      <c r="D41" s="43">
        <f>D42</f>
        <v>28534.78</v>
      </c>
      <c r="E41" s="213"/>
    </row>
    <row r="42" spans="1:5" s="19" customFormat="1" ht="15">
      <c r="A42" s="52" t="s">
        <v>125</v>
      </c>
      <c r="B42" s="42" t="s">
        <v>201</v>
      </c>
      <c r="C42" s="109" t="s">
        <v>126</v>
      </c>
      <c r="D42" s="43">
        <f>25289.1+2877.73+961.93-415.18-78.8-100</f>
        <v>28534.78</v>
      </c>
      <c r="E42" s="10"/>
    </row>
    <row r="43" spans="1:5" s="19" customFormat="1" ht="62.25">
      <c r="A43" s="52" t="s">
        <v>202</v>
      </c>
      <c r="B43" s="42" t="s">
        <v>203</v>
      </c>
      <c r="C43" s="14"/>
      <c r="D43" s="43">
        <f>D44</f>
        <v>11717.2</v>
      </c>
      <c r="E43" s="213"/>
    </row>
    <row r="44" spans="1:5" s="19" customFormat="1" ht="15">
      <c r="A44" s="52" t="s">
        <v>123</v>
      </c>
      <c r="B44" s="42" t="s">
        <v>203</v>
      </c>
      <c r="C44" s="14" t="s">
        <v>124</v>
      </c>
      <c r="D44" s="43">
        <f>D45</f>
        <v>11717.2</v>
      </c>
      <c r="E44" s="213"/>
    </row>
    <row r="45" spans="1:5" s="19" customFormat="1" ht="15">
      <c r="A45" s="52" t="s">
        <v>125</v>
      </c>
      <c r="B45" s="42" t="s">
        <v>203</v>
      </c>
      <c r="C45" s="14" t="s">
        <v>126</v>
      </c>
      <c r="D45" s="43">
        <f>11410+649.2-342</f>
        <v>11717.2</v>
      </c>
      <c r="E45" s="213"/>
    </row>
    <row r="46" spans="1:5" s="19" customFormat="1" ht="30.75">
      <c r="A46" s="108" t="s">
        <v>266</v>
      </c>
      <c r="B46" s="38" t="s">
        <v>267</v>
      </c>
      <c r="C46" s="110"/>
      <c r="D46" s="13">
        <f>D47+D49+D52</f>
        <v>48159.4</v>
      </c>
      <c r="E46" s="213"/>
    </row>
    <row r="47" spans="1:5" s="19" customFormat="1" ht="15">
      <c r="A47" s="52" t="s">
        <v>123</v>
      </c>
      <c r="B47" s="42" t="s">
        <v>268</v>
      </c>
      <c r="C47" s="109" t="s">
        <v>124</v>
      </c>
      <c r="D47" s="43">
        <f>D48</f>
        <v>14559.4</v>
      </c>
      <c r="E47" s="213"/>
    </row>
    <row r="48" spans="1:5" s="19" customFormat="1" ht="15">
      <c r="A48" s="52" t="s">
        <v>125</v>
      </c>
      <c r="B48" s="42" t="s">
        <v>268</v>
      </c>
      <c r="C48" s="109" t="s">
        <v>126</v>
      </c>
      <c r="D48" s="43">
        <f>3322-77+464.8+6628.2-550+1420.9+1676.2+1000+927.4+496.9-750</f>
        <v>14559.4</v>
      </c>
      <c r="E48" s="10"/>
    </row>
    <row r="49" spans="1:5" s="19" customFormat="1" ht="78">
      <c r="A49" s="15" t="s">
        <v>575</v>
      </c>
      <c r="B49" s="42" t="s">
        <v>576</v>
      </c>
      <c r="C49" s="60"/>
      <c r="D49" s="43">
        <f>D50</f>
        <v>23500</v>
      </c>
      <c r="E49" s="10"/>
    </row>
    <row r="50" spans="1:5" s="19" customFormat="1" ht="15">
      <c r="A50" s="15" t="s">
        <v>127</v>
      </c>
      <c r="B50" s="42" t="s">
        <v>576</v>
      </c>
      <c r="C50" s="60" t="s">
        <v>128</v>
      </c>
      <c r="D50" s="43">
        <f>D51</f>
        <v>23500</v>
      </c>
      <c r="E50" s="10"/>
    </row>
    <row r="51" spans="1:5" s="19" customFormat="1" ht="62.25">
      <c r="A51" s="15" t="s">
        <v>81</v>
      </c>
      <c r="B51" s="42" t="s">
        <v>576</v>
      </c>
      <c r="C51" s="60" t="s">
        <v>82</v>
      </c>
      <c r="D51" s="43">
        <f>10000+13500</f>
        <v>23500</v>
      </c>
      <c r="E51" s="10"/>
    </row>
    <row r="52" spans="1:5" s="19" customFormat="1" ht="93">
      <c r="A52" s="223" t="s">
        <v>737</v>
      </c>
      <c r="B52" s="42" t="s">
        <v>732</v>
      </c>
      <c r="C52" s="60"/>
      <c r="D52" s="43">
        <f>D53</f>
        <v>10100</v>
      </c>
      <c r="E52" s="10"/>
    </row>
    <row r="53" spans="1:5" s="19" customFormat="1" ht="15">
      <c r="A53" s="254" t="s">
        <v>127</v>
      </c>
      <c r="B53" s="42" t="s">
        <v>732</v>
      </c>
      <c r="C53" s="60" t="s">
        <v>128</v>
      </c>
      <c r="D53" s="43">
        <f>D54</f>
        <v>10100</v>
      </c>
      <c r="E53" s="10"/>
    </row>
    <row r="54" spans="1:5" s="19" customFormat="1" ht="27.75">
      <c r="A54" s="255" t="s">
        <v>731</v>
      </c>
      <c r="B54" s="42" t="s">
        <v>732</v>
      </c>
      <c r="C54" s="60" t="s">
        <v>254</v>
      </c>
      <c r="D54" s="43">
        <v>10100</v>
      </c>
      <c r="E54" s="10"/>
    </row>
    <row r="55" spans="1:4" ht="30.75">
      <c r="A55" s="108" t="s">
        <v>321</v>
      </c>
      <c r="B55" s="33" t="s">
        <v>322</v>
      </c>
      <c r="C55" s="1"/>
      <c r="D55" s="13">
        <f>D56+D64+D60</f>
        <v>40826.1</v>
      </c>
    </row>
    <row r="56" spans="1:5" s="19" customFormat="1" ht="30.75">
      <c r="A56" s="52" t="s">
        <v>323</v>
      </c>
      <c r="B56" s="42" t="s">
        <v>418</v>
      </c>
      <c r="C56" s="1"/>
      <c r="D56" s="43">
        <f>D57</f>
        <v>33246.1</v>
      </c>
      <c r="E56" s="213"/>
    </row>
    <row r="57" spans="1:4" ht="15">
      <c r="A57" s="52" t="s">
        <v>325</v>
      </c>
      <c r="B57" s="42" t="s">
        <v>418</v>
      </c>
      <c r="C57" s="1"/>
      <c r="D57" s="43">
        <f>D58</f>
        <v>33246.1</v>
      </c>
    </row>
    <row r="58" spans="1:4" ht="30.75">
      <c r="A58" s="52" t="s">
        <v>277</v>
      </c>
      <c r="B58" s="42" t="s">
        <v>418</v>
      </c>
      <c r="C58" s="1" t="s">
        <v>278</v>
      </c>
      <c r="D58" s="43">
        <f>D59</f>
        <v>33246.1</v>
      </c>
    </row>
    <row r="59" spans="1:4" ht="15">
      <c r="A59" s="52" t="s">
        <v>279</v>
      </c>
      <c r="B59" s="42" t="s">
        <v>418</v>
      </c>
      <c r="C59" s="1" t="s">
        <v>280</v>
      </c>
      <c r="D59" s="43">
        <f>26729.1+400+50+420+1000+4647</f>
        <v>33246.1</v>
      </c>
    </row>
    <row r="60" spans="1:4" ht="30.75">
      <c r="A60" s="52" t="s">
        <v>326</v>
      </c>
      <c r="B60" s="42" t="s">
        <v>419</v>
      </c>
      <c r="C60" s="1"/>
      <c r="D60" s="43">
        <f>D61</f>
        <v>7500</v>
      </c>
    </row>
    <row r="61" spans="1:4" ht="15">
      <c r="A61" s="52" t="s">
        <v>123</v>
      </c>
      <c r="B61" s="42" t="s">
        <v>419</v>
      </c>
      <c r="C61" s="1" t="s">
        <v>124</v>
      </c>
      <c r="D61" s="43">
        <f>D62</f>
        <v>7500</v>
      </c>
    </row>
    <row r="62" spans="1:4" ht="15">
      <c r="A62" s="15" t="s">
        <v>125</v>
      </c>
      <c r="B62" s="42" t="s">
        <v>419</v>
      </c>
      <c r="C62" s="1" t="s">
        <v>126</v>
      </c>
      <c r="D62" s="43">
        <f>15500-8000</f>
        <v>7500</v>
      </c>
    </row>
    <row r="63" spans="1:4" ht="30.75">
      <c r="A63" s="52" t="s">
        <v>328</v>
      </c>
      <c r="B63" s="42" t="s">
        <v>420</v>
      </c>
      <c r="C63" s="1"/>
      <c r="D63" s="43">
        <f>D64</f>
        <v>80</v>
      </c>
    </row>
    <row r="64" spans="1:4" ht="15">
      <c r="A64" s="52" t="s">
        <v>330</v>
      </c>
      <c r="B64" s="42" t="s">
        <v>420</v>
      </c>
      <c r="C64" s="14"/>
      <c r="D64" s="43">
        <f>D65</f>
        <v>80</v>
      </c>
    </row>
    <row r="65" spans="1:4" ht="15">
      <c r="A65" s="52" t="s">
        <v>123</v>
      </c>
      <c r="B65" s="42" t="s">
        <v>420</v>
      </c>
      <c r="C65" s="1" t="s">
        <v>124</v>
      </c>
      <c r="D65" s="43">
        <f>D66</f>
        <v>80</v>
      </c>
    </row>
    <row r="66" spans="1:4" ht="15">
      <c r="A66" s="15" t="s">
        <v>125</v>
      </c>
      <c r="B66" s="42" t="s">
        <v>420</v>
      </c>
      <c r="C66" s="1" t="s">
        <v>126</v>
      </c>
      <c r="D66" s="43">
        <f>450-420+50</f>
        <v>80</v>
      </c>
    </row>
    <row r="67" spans="1:4" ht="30.75">
      <c r="A67" s="108" t="s">
        <v>346</v>
      </c>
      <c r="B67" s="33" t="s">
        <v>347</v>
      </c>
      <c r="C67" s="14"/>
      <c r="D67" s="53">
        <f>D68+D71+D107</f>
        <v>99472.528</v>
      </c>
    </row>
    <row r="68" spans="1:4" ht="30.75">
      <c r="A68" s="52" t="s">
        <v>348</v>
      </c>
      <c r="B68" s="45" t="s">
        <v>350</v>
      </c>
      <c r="C68" s="16"/>
      <c r="D68" s="43">
        <f>D69</f>
        <v>16845.737999999998</v>
      </c>
    </row>
    <row r="69" spans="1:4" ht="15">
      <c r="A69" s="52" t="s">
        <v>351</v>
      </c>
      <c r="B69" s="45" t="s">
        <v>350</v>
      </c>
      <c r="C69" s="14" t="s">
        <v>278</v>
      </c>
      <c r="D69" s="43">
        <f>D70</f>
        <v>16845.737999999998</v>
      </c>
    </row>
    <row r="70" spans="1:4" ht="30.75">
      <c r="A70" s="52" t="s">
        <v>277</v>
      </c>
      <c r="B70" s="45" t="s">
        <v>350</v>
      </c>
      <c r="C70" s="1" t="s">
        <v>280</v>
      </c>
      <c r="D70" s="43">
        <f>15035.6+1037.3+172.838+300+300</f>
        <v>16845.737999999998</v>
      </c>
    </row>
    <row r="71" spans="1:4" ht="15">
      <c r="A71" s="52" t="s">
        <v>354</v>
      </c>
      <c r="B71" s="45" t="s">
        <v>347</v>
      </c>
      <c r="C71" s="1"/>
      <c r="D71" s="51">
        <f>D73</f>
        <v>66330.1</v>
      </c>
    </row>
    <row r="72" spans="1:4" ht="15">
      <c r="A72" s="52" t="s">
        <v>355</v>
      </c>
      <c r="B72" s="45" t="s">
        <v>356</v>
      </c>
      <c r="C72" s="1"/>
      <c r="D72" s="51">
        <f>D73</f>
        <v>66330.1</v>
      </c>
    </row>
    <row r="73" spans="1:4" ht="31.5" customHeight="1">
      <c r="A73" s="52" t="s">
        <v>357</v>
      </c>
      <c r="B73" s="45" t="s">
        <v>358</v>
      </c>
      <c r="C73" s="1"/>
      <c r="D73" s="51">
        <f>D74</f>
        <v>66330.1</v>
      </c>
    </row>
    <row r="74" spans="1:4" ht="15">
      <c r="A74" s="15" t="s">
        <v>123</v>
      </c>
      <c r="B74" s="45" t="s">
        <v>358</v>
      </c>
      <c r="C74" s="1" t="s">
        <v>124</v>
      </c>
      <c r="D74" s="51">
        <f>D75</f>
        <v>66330.1</v>
      </c>
    </row>
    <row r="75" spans="1:4" ht="15">
      <c r="A75" s="15" t="s">
        <v>125</v>
      </c>
      <c r="B75" s="45" t="s">
        <v>358</v>
      </c>
      <c r="C75" s="1" t="s">
        <v>126</v>
      </c>
      <c r="D75" s="51">
        <f>53333.3+0.1+12996.7</f>
        <v>66330.1</v>
      </c>
    </row>
    <row r="76" spans="1:4" ht="30" customHeight="1" hidden="1">
      <c r="A76" s="108" t="s">
        <v>421</v>
      </c>
      <c r="B76" s="45" t="s">
        <v>205</v>
      </c>
      <c r="C76" s="14"/>
      <c r="D76" s="53">
        <f>D77+D80+D86+D89+D99</f>
        <v>45143.164</v>
      </c>
    </row>
    <row r="77" spans="1:5" s="19" customFormat="1" ht="15" customHeight="1" hidden="1">
      <c r="A77" s="52" t="s">
        <v>422</v>
      </c>
      <c r="B77" s="45" t="s">
        <v>423</v>
      </c>
      <c r="C77" s="14"/>
      <c r="D77" s="43">
        <f>D78</f>
        <v>3616.864</v>
      </c>
      <c r="E77" s="213"/>
    </row>
    <row r="78" spans="1:4" ht="15" customHeight="1" hidden="1">
      <c r="A78" s="15" t="s">
        <v>123</v>
      </c>
      <c r="B78" s="45" t="s">
        <v>423</v>
      </c>
      <c r="C78" s="14" t="s">
        <v>124</v>
      </c>
      <c r="D78" s="43">
        <f>D79</f>
        <v>3616.864</v>
      </c>
    </row>
    <row r="79" spans="1:4" ht="15" customHeight="1" hidden="1">
      <c r="A79" s="15" t="s">
        <v>125</v>
      </c>
      <c r="B79" s="45" t="s">
        <v>423</v>
      </c>
      <c r="C79" s="14" t="s">
        <v>126</v>
      </c>
      <c r="D79" s="43">
        <v>3616.864</v>
      </c>
    </row>
    <row r="80" spans="1:5" s="19" customFormat="1" ht="15" customHeight="1" hidden="1">
      <c r="A80" s="52" t="s">
        <v>424</v>
      </c>
      <c r="B80" s="45" t="s">
        <v>425</v>
      </c>
      <c r="C80" s="14"/>
      <c r="D80" s="43">
        <f>D81</f>
        <v>10739.3</v>
      </c>
      <c r="E80" s="213"/>
    </row>
    <row r="81" spans="1:4" ht="15" customHeight="1" hidden="1">
      <c r="A81" s="15" t="s">
        <v>123</v>
      </c>
      <c r="B81" s="45" t="s">
        <v>425</v>
      </c>
      <c r="C81" s="14" t="s">
        <v>124</v>
      </c>
      <c r="D81" s="43">
        <f>D82</f>
        <v>10739.3</v>
      </c>
    </row>
    <row r="82" spans="1:4" ht="15" customHeight="1" hidden="1">
      <c r="A82" s="15" t="s">
        <v>125</v>
      </c>
      <c r="B82" s="45" t="s">
        <v>425</v>
      </c>
      <c r="C82" s="14" t="s">
        <v>126</v>
      </c>
      <c r="D82" s="51">
        <f>7739.3+3000</f>
        <v>10739.3</v>
      </c>
    </row>
    <row r="83" spans="1:4" ht="77.25" customHeight="1" hidden="1">
      <c r="A83" s="18" t="s">
        <v>426</v>
      </c>
      <c r="B83" s="45" t="s">
        <v>427</v>
      </c>
      <c r="C83" s="14"/>
      <c r="D83" s="51"/>
    </row>
    <row r="84" spans="1:4" ht="15" customHeight="1" hidden="1">
      <c r="A84" s="15" t="s">
        <v>123</v>
      </c>
      <c r="B84" s="45" t="s">
        <v>427</v>
      </c>
      <c r="C84" s="14" t="s">
        <v>124</v>
      </c>
      <c r="D84" s="51"/>
    </row>
    <row r="85" spans="1:4" ht="15" customHeight="1" hidden="1">
      <c r="A85" s="15" t="s">
        <v>125</v>
      </c>
      <c r="B85" s="45" t="s">
        <v>427</v>
      </c>
      <c r="C85" s="14" t="s">
        <v>126</v>
      </c>
      <c r="D85" s="51"/>
    </row>
    <row r="86" spans="1:5" s="19" customFormat="1" ht="15" customHeight="1" hidden="1">
      <c r="A86" s="52" t="s">
        <v>428</v>
      </c>
      <c r="B86" s="45" t="s">
        <v>429</v>
      </c>
      <c r="C86" s="14"/>
      <c r="D86" s="43">
        <f>D87</f>
        <v>5658.2</v>
      </c>
      <c r="E86" s="213"/>
    </row>
    <row r="87" spans="1:4" ht="30.75" customHeight="1" hidden="1">
      <c r="A87" s="52" t="s">
        <v>277</v>
      </c>
      <c r="B87" s="45" t="s">
        <v>429</v>
      </c>
      <c r="C87" s="14" t="s">
        <v>278</v>
      </c>
      <c r="D87" s="43">
        <f>D88</f>
        <v>5658.2</v>
      </c>
    </row>
    <row r="88" spans="1:4" ht="15" customHeight="1" hidden="1">
      <c r="A88" s="52" t="s">
        <v>279</v>
      </c>
      <c r="B88" s="45" t="s">
        <v>429</v>
      </c>
      <c r="C88" s="14" t="s">
        <v>280</v>
      </c>
      <c r="D88" s="43">
        <f>5423.2+235</f>
        <v>5658.2</v>
      </c>
    </row>
    <row r="89" spans="1:5" s="19" customFormat="1" ht="15" customHeight="1" hidden="1">
      <c r="A89" s="52" t="s">
        <v>430</v>
      </c>
      <c r="B89" s="45" t="s">
        <v>431</v>
      </c>
      <c r="C89" s="14"/>
      <c r="D89" s="43">
        <f>D90+D92</f>
        <v>9435.4</v>
      </c>
      <c r="E89" s="213"/>
    </row>
    <row r="90" spans="1:4" ht="15" customHeight="1" hidden="1">
      <c r="A90" s="15" t="s">
        <v>123</v>
      </c>
      <c r="B90" s="45" t="s">
        <v>432</v>
      </c>
      <c r="C90" s="14" t="s">
        <v>124</v>
      </c>
      <c r="D90" s="43">
        <f>D91</f>
        <v>1000</v>
      </c>
    </row>
    <row r="91" spans="1:4" ht="15" customHeight="1" hidden="1">
      <c r="A91" s="15" t="s">
        <v>125</v>
      </c>
      <c r="B91" s="45" t="s">
        <v>432</v>
      </c>
      <c r="C91" s="14" t="s">
        <v>126</v>
      </c>
      <c r="D91" s="51">
        <v>1000</v>
      </c>
    </row>
    <row r="92" spans="1:4" ht="46.5" customHeight="1" hidden="1">
      <c r="A92" s="41" t="s">
        <v>302</v>
      </c>
      <c r="B92" s="45" t="s">
        <v>433</v>
      </c>
      <c r="C92" s="14"/>
      <c r="D92" s="43">
        <f>D93+D95+D97</f>
        <v>8435.4</v>
      </c>
    </row>
    <row r="93" spans="1:4" ht="46.5" customHeight="1" hidden="1">
      <c r="A93" s="41" t="s">
        <v>109</v>
      </c>
      <c r="B93" s="45" t="s">
        <v>433</v>
      </c>
      <c r="C93" s="1" t="s">
        <v>110</v>
      </c>
      <c r="D93" s="43">
        <f>D94</f>
        <v>5845.4</v>
      </c>
    </row>
    <row r="94" spans="1:4" ht="15" customHeight="1" hidden="1">
      <c r="A94" s="41" t="s">
        <v>170</v>
      </c>
      <c r="B94" s="45" t="s">
        <v>433</v>
      </c>
      <c r="C94" s="1" t="s">
        <v>171</v>
      </c>
      <c r="D94" s="43">
        <v>5845.4</v>
      </c>
    </row>
    <row r="95" spans="1:4" ht="15" customHeight="1" hidden="1">
      <c r="A95" s="52" t="s">
        <v>123</v>
      </c>
      <c r="B95" s="45" t="s">
        <v>433</v>
      </c>
      <c r="C95" s="14" t="s">
        <v>124</v>
      </c>
      <c r="D95" s="43">
        <f>D96</f>
        <v>2580</v>
      </c>
    </row>
    <row r="96" spans="1:4" ht="15" customHeight="1" hidden="1">
      <c r="A96" s="52" t="s">
        <v>125</v>
      </c>
      <c r="B96" s="45" t="s">
        <v>433</v>
      </c>
      <c r="C96" s="14" t="s">
        <v>126</v>
      </c>
      <c r="D96" s="43">
        <v>2580</v>
      </c>
    </row>
    <row r="97" spans="1:4" ht="15" customHeight="1" hidden="1">
      <c r="A97" s="15" t="s">
        <v>127</v>
      </c>
      <c r="B97" s="45" t="s">
        <v>433</v>
      </c>
      <c r="C97" s="14" t="s">
        <v>128</v>
      </c>
      <c r="D97" s="43">
        <f>D98</f>
        <v>10</v>
      </c>
    </row>
    <row r="98" spans="1:4" ht="15" customHeight="1" hidden="1">
      <c r="A98" s="15" t="s">
        <v>129</v>
      </c>
      <c r="B98" s="45" t="s">
        <v>433</v>
      </c>
      <c r="C98" s="14" t="s">
        <v>130</v>
      </c>
      <c r="D98" s="43">
        <v>10</v>
      </c>
    </row>
    <row r="99" spans="1:4" ht="15" customHeight="1" hidden="1">
      <c r="A99" s="52" t="s">
        <v>434</v>
      </c>
      <c r="B99" s="45" t="s">
        <v>435</v>
      </c>
      <c r="C99" s="14"/>
      <c r="D99" s="43">
        <f>D100+D102</f>
        <v>15693.4</v>
      </c>
    </row>
    <row r="100" spans="1:4" ht="15" customHeight="1" hidden="1">
      <c r="A100" s="15" t="s">
        <v>123</v>
      </c>
      <c r="B100" s="45" t="s">
        <v>436</v>
      </c>
      <c r="C100" s="14" t="s">
        <v>124</v>
      </c>
      <c r="D100" s="43">
        <f>D101</f>
        <v>400</v>
      </c>
    </row>
    <row r="101" spans="1:4" ht="15" customHeight="1" hidden="1">
      <c r="A101" s="15" t="s">
        <v>125</v>
      </c>
      <c r="B101" s="45" t="s">
        <v>436</v>
      </c>
      <c r="C101" s="14" t="s">
        <v>126</v>
      </c>
      <c r="D101" s="51">
        <v>400</v>
      </c>
    </row>
    <row r="102" spans="1:4" ht="30.75" customHeight="1" hidden="1">
      <c r="A102" s="52" t="s">
        <v>277</v>
      </c>
      <c r="B102" s="45" t="s">
        <v>437</v>
      </c>
      <c r="C102" s="14" t="s">
        <v>278</v>
      </c>
      <c r="D102" s="43">
        <f>D103</f>
        <v>15293.4</v>
      </c>
    </row>
    <row r="103" spans="1:4" ht="15" customHeight="1" hidden="1">
      <c r="A103" s="52" t="s">
        <v>279</v>
      </c>
      <c r="B103" s="45" t="s">
        <v>437</v>
      </c>
      <c r="C103" s="14" t="s">
        <v>280</v>
      </c>
      <c r="D103" s="43">
        <f>14235+458.4+600</f>
        <v>15293.4</v>
      </c>
    </row>
    <row r="104" spans="1:4" ht="61.5" customHeight="1" hidden="1">
      <c r="A104" s="58" t="s">
        <v>438</v>
      </c>
      <c r="B104" s="45" t="s">
        <v>439</v>
      </c>
      <c r="C104" s="14"/>
      <c r="D104" s="43"/>
    </row>
    <row r="105" spans="1:4" ht="15" customHeight="1" hidden="1">
      <c r="A105" s="15" t="s">
        <v>123</v>
      </c>
      <c r="B105" s="45" t="s">
        <v>439</v>
      </c>
      <c r="C105" s="14" t="s">
        <v>124</v>
      </c>
      <c r="D105" s="43"/>
    </row>
    <row r="106" spans="1:4" ht="15" customHeight="1" hidden="1">
      <c r="A106" s="15" t="s">
        <v>125</v>
      </c>
      <c r="B106" s="45" t="s">
        <v>439</v>
      </c>
      <c r="C106" s="14" t="s">
        <v>126</v>
      </c>
      <c r="D106" s="43"/>
    </row>
    <row r="107" spans="1:4" ht="15" customHeight="1">
      <c r="A107" s="15" t="s">
        <v>359</v>
      </c>
      <c r="B107" s="45" t="s">
        <v>360</v>
      </c>
      <c r="C107" s="1"/>
      <c r="D107" s="51">
        <f>D108</f>
        <v>16296.69</v>
      </c>
    </row>
    <row r="108" spans="1:4" ht="15" customHeight="1">
      <c r="A108" s="15" t="s">
        <v>123</v>
      </c>
      <c r="B108" s="45" t="s">
        <v>360</v>
      </c>
      <c r="C108" s="1" t="s">
        <v>124</v>
      </c>
      <c r="D108" s="51">
        <f>D109</f>
        <v>16296.69</v>
      </c>
    </row>
    <row r="109" spans="1:5" ht="15" customHeight="1">
      <c r="A109" s="15" t="s">
        <v>125</v>
      </c>
      <c r="B109" s="45" t="s">
        <v>360</v>
      </c>
      <c r="C109" s="1" t="s">
        <v>126</v>
      </c>
      <c r="D109" s="51">
        <f>14964.69+1332</f>
        <v>16296.69</v>
      </c>
      <c r="E109" s="111"/>
    </row>
    <row r="110" spans="1:5" s="19" customFormat="1" ht="46.5">
      <c r="A110" s="91" t="s">
        <v>204</v>
      </c>
      <c r="B110" s="33" t="s">
        <v>205</v>
      </c>
      <c r="C110" s="16"/>
      <c r="D110" s="53">
        <f>D111+D120+D169+D187</f>
        <v>107895.86354000002</v>
      </c>
      <c r="E110" s="213"/>
    </row>
    <row r="111" spans="1:5" s="19" customFormat="1" ht="15">
      <c r="A111" s="52" t="s">
        <v>206</v>
      </c>
      <c r="B111" s="45" t="s">
        <v>207</v>
      </c>
      <c r="C111" s="14"/>
      <c r="D111" s="43">
        <f>D112</f>
        <v>11997.9606</v>
      </c>
      <c r="E111" s="213"/>
    </row>
    <row r="112" spans="1:5" s="19" customFormat="1" ht="15">
      <c r="A112" s="57" t="s">
        <v>208</v>
      </c>
      <c r="B112" s="45" t="s">
        <v>209</v>
      </c>
      <c r="C112" s="14"/>
      <c r="D112" s="43">
        <f>D113+D116</f>
        <v>11997.9606</v>
      </c>
      <c r="E112" s="213"/>
    </row>
    <row r="113" spans="1:5" s="19" customFormat="1" ht="15">
      <c r="A113" s="52" t="s">
        <v>210</v>
      </c>
      <c r="B113" s="45" t="s">
        <v>211</v>
      </c>
      <c r="C113" s="14"/>
      <c r="D113" s="43">
        <f>D114</f>
        <v>4968.2706</v>
      </c>
      <c r="E113" s="213"/>
    </row>
    <row r="114" spans="1:5" s="19" customFormat="1" ht="15">
      <c r="A114" s="52" t="s">
        <v>123</v>
      </c>
      <c r="B114" s="45" t="s">
        <v>211</v>
      </c>
      <c r="C114" s="14" t="s">
        <v>124</v>
      </c>
      <c r="D114" s="43">
        <f>D115</f>
        <v>4968.2706</v>
      </c>
      <c r="E114" s="213"/>
    </row>
    <row r="115" spans="1:5" s="19" customFormat="1" ht="15">
      <c r="A115" s="52" t="s">
        <v>125</v>
      </c>
      <c r="B115" s="45" t="s">
        <v>211</v>
      </c>
      <c r="C115" s="14" t="s">
        <v>126</v>
      </c>
      <c r="D115" s="43">
        <f>800+4500-331.7294</f>
        <v>4968.2706</v>
      </c>
      <c r="E115" s="213"/>
    </row>
    <row r="116" spans="1:5" s="19" customFormat="1" ht="15">
      <c r="A116" s="52" t="s">
        <v>440</v>
      </c>
      <c r="B116" s="45" t="s">
        <v>214</v>
      </c>
      <c r="C116" s="14"/>
      <c r="D116" s="43">
        <f>D117</f>
        <v>7029.6900000000005</v>
      </c>
      <c r="E116" s="213"/>
    </row>
    <row r="117" spans="1:5" s="19" customFormat="1" ht="16.5" customHeight="1">
      <c r="A117" s="52" t="s">
        <v>215</v>
      </c>
      <c r="B117" s="45" t="s">
        <v>216</v>
      </c>
      <c r="C117" s="14"/>
      <c r="D117" s="43">
        <f>D118</f>
        <v>7029.6900000000005</v>
      </c>
      <c r="E117" s="213"/>
    </row>
    <row r="118" spans="1:5" s="19" customFormat="1" ht="15">
      <c r="A118" s="52" t="s">
        <v>123</v>
      </c>
      <c r="B118" s="45" t="s">
        <v>216</v>
      </c>
      <c r="C118" s="14" t="s">
        <v>124</v>
      </c>
      <c r="D118" s="43">
        <f>D119</f>
        <v>7029.6900000000005</v>
      </c>
      <c r="E118" s="213"/>
    </row>
    <row r="119" spans="1:5" s="19" customFormat="1" ht="15">
      <c r="A119" s="52" t="s">
        <v>125</v>
      </c>
      <c r="B119" s="45" t="s">
        <v>216</v>
      </c>
      <c r="C119" s="14" t="s">
        <v>126</v>
      </c>
      <c r="D119" s="43">
        <f>2759.13+2962.46+1308.1</f>
        <v>7029.6900000000005</v>
      </c>
      <c r="E119" s="10"/>
    </row>
    <row r="120" spans="1:4" ht="15">
      <c r="A120" s="52" t="s">
        <v>271</v>
      </c>
      <c r="B120" s="45" t="s">
        <v>272</v>
      </c>
      <c r="C120" s="14"/>
      <c r="D120" s="67">
        <f>D121+D134+D148+D158</f>
        <v>80617.95545000001</v>
      </c>
    </row>
    <row r="121" spans="1:4" ht="30.75">
      <c r="A121" s="57" t="s">
        <v>273</v>
      </c>
      <c r="B121" s="45" t="s">
        <v>274</v>
      </c>
      <c r="C121" s="14"/>
      <c r="D121" s="67">
        <f>D122+D125+D128+D131</f>
        <v>29281.7958</v>
      </c>
    </row>
    <row r="122" spans="1:4" ht="15">
      <c r="A122" s="52" t="s">
        <v>275</v>
      </c>
      <c r="B122" s="45" t="s">
        <v>276</v>
      </c>
      <c r="C122" s="14"/>
      <c r="D122" s="67">
        <f>D123</f>
        <v>18462.0838</v>
      </c>
    </row>
    <row r="123" spans="1:4" ht="30.75">
      <c r="A123" s="52" t="s">
        <v>277</v>
      </c>
      <c r="B123" s="45" t="s">
        <v>276</v>
      </c>
      <c r="C123" s="14" t="s">
        <v>278</v>
      </c>
      <c r="D123" s="51">
        <f>D124</f>
        <v>18462.0838</v>
      </c>
    </row>
    <row r="124" spans="1:4" ht="15">
      <c r="A124" s="52" t="s">
        <v>279</v>
      </c>
      <c r="B124" s="45" t="s">
        <v>276</v>
      </c>
      <c r="C124" s="14" t="s">
        <v>280</v>
      </c>
      <c r="D124" s="51">
        <f>15293.4+1324.4+830+425.0838+89.2+500</f>
        <v>18462.0838</v>
      </c>
    </row>
    <row r="125" spans="1:4" ht="15">
      <c r="A125" s="52" t="s">
        <v>281</v>
      </c>
      <c r="B125" s="45" t="s">
        <v>282</v>
      </c>
      <c r="C125" s="14"/>
      <c r="D125" s="67">
        <f>D126</f>
        <v>5658.2</v>
      </c>
    </row>
    <row r="126" spans="1:4" ht="30.75">
      <c r="A126" s="52" t="s">
        <v>277</v>
      </c>
      <c r="B126" s="45" t="s">
        <v>282</v>
      </c>
      <c r="C126" s="14" t="s">
        <v>278</v>
      </c>
      <c r="D126" s="51">
        <f>D127</f>
        <v>5658.2</v>
      </c>
    </row>
    <row r="127" spans="1:4" ht="15">
      <c r="A127" s="52" t="s">
        <v>279</v>
      </c>
      <c r="B127" s="45" t="s">
        <v>282</v>
      </c>
      <c r="C127" s="14" t="s">
        <v>280</v>
      </c>
      <c r="D127" s="51">
        <v>5658.2</v>
      </c>
    </row>
    <row r="128" spans="1:4" ht="15">
      <c r="A128" s="52" t="s">
        <v>283</v>
      </c>
      <c r="B128" s="45" t="s">
        <v>284</v>
      </c>
      <c r="C128" s="112"/>
      <c r="D128" s="51">
        <f>D129</f>
        <v>5061.512000000001</v>
      </c>
    </row>
    <row r="129" spans="1:4" ht="15">
      <c r="A129" s="15" t="s">
        <v>123</v>
      </c>
      <c r="B129" s="45" t="s">
        <v>284</v>
      </c>
      <c r="C129" s="14" t="s">
        <v>124</v>
      </c>
      <c r="D129" s="51">
        <f>D130</f>
        <v>5061.512000000001</v>
      </c>
    </row>
    <row r="130" spans="1:4" ht="15">
      <c r="A130" s="15" t="s">
        <v>125</v>
      </c>
      <c r="B130" s="45" t="s">
        <v>284</v>
      </c>
      <c r="C130" s="14" t="s">
        <v>126</v>
      </c>
      <c r="D130" s="51">
        <f>4236.6+409.732+415.18</f>
        <v>5061.512000000001</v>
      </c>
    </row>
    <row r="131" spans="1:4" ht="15">
      <c r="A131" s="52" t="s">
        <v>285</v>
      </c>
      <c r="B131" s="45" t="s">
        <v>286</v>
      </c>
      <c r="C131" s="112"/>
      <c r="D131" s="51">
        <f>D132</f>
        <v>100</v>
      </c>
    </row>
    <row r="132" spans="1:4" ht="15">
      <c r="A132" s="15" t="s">
        <v>123</v>
      </c>
      <c r="B132" s="45" t="s">
        <v>286</v>
      </c>
      <c r="C132" s="14" t="s">
        <v>124</v>
      </c>
      <c r="D132" s="51">
        <f>D133</f>
        <v>100</v>
      </c>
    </row>
    <row r="133" spans="1:4" ht="15">
      <c r="A133" s="15" t="s">
        <v>125</v>
      </c>
      <c r="B133" s="45" t="s">
        <v>286</v>
      </c>
      <c r="C133" s="14" t="s">
        <v>126</v>
      </c>
      <c r="D133" s="51">
        <v>100</v>
      </c>
    </row>
    <row r="134" spans="1:4" ht="15">
      <c r="A134" s="57" t="s">
        <v>287</v>
      </c>
      <c r="B134" s="45" t="s">
        <v>288</v>
      </c>
      <c r="C134" s="14"/>
      <c r="D134" s="51">
        <f>D135+D138+D145+D142</f>
        <v>21246.07965</v>
      </c>
    </row>
    <row r="135" spans="1:4" ht="15">
      <c r="A135" s="52" t="s">
        <v>289</v>
      </c>
      <c r="B135" s="45" t="s">
        <v>290</v>
      </c>
      <c r="C135" s="14"/>
      <c r="D135" s="51">
        <f>D136</f>
        <v>4332.5</v>
      </c>
    </row>
    <row r="136" spans="1:4" ht="15">
      <c r="A136" s="15" t="s">
        <v>123</v>
      </c>
      <c r="B136" s="45" t="s">
        <v>290</v>
      </c>
      <c r="C136" s="14" t="s">
        <v>124</v>
      </c>
      <c r="D136" s="51">
        <f>D137</f>
        <v>4332.5</v>
      </c>
    </row>
    <row r="137" spans="1:4" ht="15">
      <c r="A137" s="15" t="s">
        <v>125</v>
      </c>
      <c r="B137" s="45" t="s">
        <v>290</v>
      </c>
      <c r="C137" s="14" t="s">
        <v>126</v>
      </c>
      <c r="D137" s="51">
        <f>4513-180.5</f>
        <v>4332.5</v>
      </c>
    </row>
    <row r="138" spans="1:4" ht="30.75">
      <c r="A138" s="15" t="s">
        <v>291</v>
      </c>
      <c r="B138" s="45" t="s">
        <v>292</v>
      </c>
      <c r="C138" s="14"/>
      <c r="D138" s="51">
        <f>D139</f>
        <v>6196.2</v>
      </c>
    </row>
    <row r="139" spans="1:4" ht="15">
      <c r="A139" s="15" t="s">
        <v>123</v>
      </c>
      <c r="B139" s="45" t="s">
        <v>292</v>
      </c>
      <c r="C139" s="14" t="s">
        <v>124</v>
      </c>
      <c r="D139" s="51">
        <f>D140</f>
        <v>6196.2</v>
      </c>
    </row>
    <row r="140" spans="1:4" ht="15">
      <c r="A140" s="15" t="s">
        <v>125</v>
      </c>
      <c r="B140" s="45" t="s">
        <v>292</v>
      </c>
      <c r="C140" s="14" t="s">
        <v>126</v>
      </c>
      <c r="D140" s="51">
        <f>4000+2196.2</f>
        <v>6196.2</v>
      </c>
    </row>
    <row r="141" spans="1:4" ht="15">
      <c r="A141" s="52" t="s">
        <v>440</v>
      </c>
      <c r="B141" s="45" t="s">
        <v>293</v>
      </c>
      <c r="C141" s="14"/>
      <c r="D141" s="51">
        <f>D142</f>
        <v>7934.02</v>
      </c>
    </row>
    <row r="142" spans="1:4" ht="49.5" customHeight="1">
      <c r="A142" s="18" t="s">
        <v>294</v>
      </c>
      <c r="B142" s="45" t="s">
        <v>295</v>
      </c>
      <c r="C142" s="14"/>
      <c r="D142" s="51">
        <f>D143</f>
        <v>7934.02</v>
      </c>
    </row>
    <row r="143" spans="1:4" ht="15">
      <c r="A143" s="15" t="s">
        <v>123</v>
      </c>
      <c r="B143" s="45" t="s">
        <v>295</v>
      </c>
      <c r="C143" s="14" t="s">
        <v>124</v>
      </c>
      <c r="D143" s="51">
        <f>D144</f>
        <v>7934.02</v>
      </c>
    </row>
    <row r="144" spans="1:4" ht="15">
      <c r="A144" s="15" t="s">
        <v>125</v>
      </c>
      <c r="B144" s="45" t="s">
        <v>295</v>
      </c>
      <c r="C144" s="14" t="s">
        <v>126</v>
      </c>
      <c r="D144" s="51">
        <f>6513.83+1420.19</f>
        <v>7934.02</v>
      </c>
    </row>
    <row r="145" spans="1:4" ht="15">
      <c r="A145" s="52" t="s">
        <v>296</v>
      </c>
      <c r="B145" s="45" t="s">
        <v>297</v>
      </c>
      <c r="C145" s="14"/>
      <c r="D145" s="51">
        <f>D146</f>
        <v>2783.359650000001</v>
      </c>
    </row>
    <row r="146" spans="1:4" ht="15">
      <c r="A146" s="15" t="s">
        <v>123</v>
      </c>
      <c r="B146" s="45" t="s">
        <v>297</v>
      </c>
      <c r="C146" s="14" t="s">
        <v>124</v>
      </c>
      <c r="D146" s="51">
        <f>D147</f>
        <v>2783.359650000001</v>
      </c>
    </row>
    <row r="147" spans="1:4" ht="15">
      <c r="A147" s="15" t="s">
        <v>125</v>
      </c>
      <c r="B147" s="45" t="s">
        <v>297</v>
      </c>
      <c r="C147" s="14" t="s">
        <v>126</v>
      </c>
      <c r="D147" s="51">
        <f>1300-517.6+110.2+1039.2-70.4+450.13025+331.7294+110.8-15.7+45</f>
        <v>2783.359650000001</v>
      </c>
    </row>
    <row r="148" spans="1:4" ht="15">
      <c r="A148" s="57" t="s">
        <v>298</v>
      </c>
      <c r="B148" s="45" t="s">
        <v>299</v>
      </c>
      <c r="C148" s="14"/>
      <c r="D148" s="51">
        <f>D149</f>
        <v>8265.2</v>
      </c>
    </row>
    <row r="149" spans="1:4" ht="15">
      <c r="A149" s="15" t="s">
        <v>300</v>
      </c>
      <c r="B149" s="45" t="s">
        <v>301</v>
      </c>
      <c r="C149" s="14"/>
      <c r="D149" s="51">
        <f>D150</f>
        <v>8265.2</v>
      </c>
    </row>
    <row r="150" spans="1:4" ht="48" customHeight="1">
      <c r="A150" s="41" t="s">
        <v>302</v>
      </c>
      <c r="B150" s="45" t="s">
        <v>301</v>
      </c>
      <c r="C150" s="14"/>
      <c r="D150" s="51">
        <f>D151+D154+D156</f>
        <v>8265.2</v>
      </c>
    </row>
    <row r="151" spans="1:4" ht="46.5">
      <c r="A151" s="41" t="s">
        <v>109</v>
      </c>
      <c r="B151" s="45" t="s">
        <v>301</v>
      </c>
      <c r="C151" s="14"/>
      <c r="D151" s="51">
        <f>D152</f>
        <v>6245.4</v>
      </c>
    </row>
    <row r="152" spans="1:4" ht="15">
      <c r="A152" s="41" t="s">
        <v>170</v>
      </c>
      <c r="B152" s="45" t="s">
        <v>301</v>
      </c>
      <c r="C152" s="14" t="s">
        <v>110</v>
      </c>
      <c r="D152" s="51">
        <f>D153</f>
        <v>6245.4</v>
      </c>
    </row>
    <row r="153" spans="1:4" ht="15">
      <c r="A153" s="52" t="s">
        <v>123</v>
      </c>
      <c r="B153" s="45" t="s">
        <v>301</v>
      </c>
      <c r="C153" s="14" t="s">
        <v>171</v>
      </c>
      <c r="D153" s="51">
        <v>6245.4</v>
      </c>
    </row>
    <row r="154" spans="1:4" ht="15">
      <c r="A154" s="52" t="s">
        <v>125</v>
      </c>
      <c r="B154" s="45" t="s">
        <v>301</v>
      </c>
      <c r="C154" s="14" t="s">
        <v>124</v>
      </c>
      <c r="D154" s="51">
        <f>D155</f>
        <v>2009.8000000000002</v>
      </c>
    </row>
    <row r="155" spans="1:4" ht="15">
      <c r="A155" s="41" t="s">
        <v>127</v>
      </c>
      <c r="B155" s="45" t="s">
        <v>301</v>
      </c>
      <c r="C155" s="14" t="s">
        <v>126</v>
      </c>
      <c r="D155" s="51">
        <f>4716.8-2907+200</f>
        <v>2009.8000000000002</v>
      </c>
    </row>
    <row r="156" spans="1:4" ht="15">
      <c r="A156" s="41" t="s">
        <v>129</v>
      </c>
      <c r="B156" s="45" t="s">
        <v>301</v>
      </c>
      <c r="C156" s="14" t="s">
        <v>128</v>
      </c>
      <c r="D156" s="51">
        <f>D157</f>
        <v>10</v>
      </c>
    </row>
    <row r="157" spans="1:4" ht="15">
      <c r="A157" s="41" t="s">
        <v>129</v>
      </c>
      <c r="B157" s="45" t="s">
        <v>301</v>
      </c>
      <c r="C157" s="14" t="s">
        <v>130</v>
      </c>
      <c r="D157" s="51">
        <v>10</v>
      </c>
    </row>
    <row r="158" spans="1:4" ht="15">
      <c r="A158" s="57" t="s">
        <v>303</v>
      </c>
      <c r="B158" s="45" t="s">
        <v>304</v>
      </c>
      <c r="C158" s="14"/>
      <c r="D158" s="51">
        <f>D159+D162</f>
        <v>21824.88</v>
      </c>
    </row>
    <row r="159" spans="1:4" ht="15">
      <c r="A159" s="52" t="s">
        <v>305</v>
      </c>
      <c r="B159" s="45" t="s">
        <v>306</v>
      </c>
      <c r="C159" s="14"/>
      <c r="D159" s="51">
        <f>D160</f>
        <v>21747</v>
      </c>
    </row>
    <row r="160" spans="1:4" ht="15">
      <c r="A160" s="15" t="s">
        <v>123</v>
      </c>
      <c r="B160" s="45" t="s">
        <v>306</v>
      </c>
      <c r="C160" s="14" t="s">
        <v>124</v>
      </c>
      <c r="D160" s="51">
        <f>D161</f>
        <v>21747</v>
      </c>
    </row>
    <row r="161" spans="1:4" ht="15">
      <c r="A161" s="15" t="s">
        <v>125</v>
      </c>
      <c r="B161" s="45" t="s">
        <v>306</v>
      </c>
      <c r="C161" s="14" t="s">
        <v>126</v>
      </c>
      <c r="D161" s="51">
        <f>2400-2000+750+200+90+550+60050-37750-7000-1000+1200-200+2877+1080+500</f>
        <v>21747</v>
      </c>
    </row>
    <row r="162" spans="1:4" ht="15">
      <c r="A162" s="52" t="s">
        <v>440</v>
      </c>
      <c r="B162" s="45" t="s">
        <v>293</v>
      </c>
      <c r="C162" s="14"/>
      <c r="D162" s="51">
        <f>D163+D166</f>
        <v>77.87999999999978</v>
      </c>
    </row>
    <row r="163" spans="1:4" ht="30.75">
      <c r="A163" s="58" t="s">
        <v>307</v>
      </c>
      <c r="B163" s="45" t="s">
        <v>308</v>
      </c>
      <c r="C163" s="14"/>
      <c r="D163" s="51">
        <f>D164</f>
        <v>77.89</v>
      </c>
    </row>
    <row r="164" spans="1:4" ht="15">
      <c r="A164" s="15" t="s">
        <v>123</v>
      </c>
      <c r="B164" s="45" t="s">
        <v>308</v>
      </c>
      <c r="C164" s="14" t="s">
        <v>124</v>
      </c>
      <c r="D164" s="51">
        <f>D165</f>
        <v>77.89</v>
      </c>
    </row>
    <row r="165" spans="1:4" ht="15">
      <c r="A165" s="15" t="s">
        <v>125</v>
      </c>
      <c r="B165" s="45" t="s">
        <v>308</v>
      </c>
      <c r="C165" s="14" t="s">
        <v>126</v>
      </c>
      <c r="D165" s="51">
        <v>77.89</v>
      </c>
    </row>
    <row r="166" spans="1:4" ht="32.25" customHeight="1">
      <c r="A166" s="58" t="s">
        <v>309</v>
      </c>
      <c r="B166" s="45" t="s">
        <v>310</v>
      </c>
      <c r="C166" s="14"/>
      <c r="D166" s="51">
        <f>D167</f>
        <v>-0.010000000000218279</v>
      </c>
    </row>
    <row r="167" spans="1:4" ht="15">
      <c r="A167" s="15" t="s">
        <v>123</v>
      </c>
      <c r="B167" s="45" t="s">
        <v>310</v>
      </c>
      <c r="C167" s="14" t="s">
        <v>124</v>
      </c>
      <c r="D167" s="51">
        <f>D168</f>
        <v>-0.010000000000218279</v>
      </c>
    </row>
    <row r="168" spans="1:4" ht="15">
      <c r="A168" s="15" t="s">
        <v>125</v>
      </c>
      <c r="B168" s="45" t="s">
        <v>310</v>
      </c>
      <c r="C168" s="14" t="s">
        <v>126</v>
      </c>
      <c r="D168" s="51">
        <f>5673.79+1237-6910.8</f>
        <v>-0.010000000000218279</v>
      </c>
    </row>
    <row r="169" spans="1:4" ht="30.75">
      <c r="A169" s="52" t="s">
        <v>248</v>
      </c>
      <c r="B169" s="45" t="s">
        <v>249</v>
      </c>
      <c r="C169" s="14"/>
      <c r="D169" s="51">
        <f>D170+D177+D184</f>
        <v>15018.94749</v>
      </c>
    </row>
    <row r="170" spans="1:4" ht="30.75">
      <c r="A170" s="57" t="s">
        <v>250</v>
      </c>
      <c r="B170" s="45" t="s">
        <v>251</v>
      </c>
      <c r="C170" s="14"/>
      <c r="D170" s="43">
        <f>D171</f>
        <v>360.24</v>
      </c>
    </row>
    <row r="171" spans="1:4" ht="46.5">
      <c r="A171" s="58" t="s">
        <v>252</v>
      </c>
      <c r="B171" s="45" t="s">
        <v>253</v>
      </c>
      <c r="C171" s="14"/>
      <c r="D171" s="43">
        <f>D172</f>
        <v>360.24</v>
      </c>
    </row>
    <row r="172" spans="1:4" ht="15">
      <c r="A172" s="52" t="s">
        <v>123</v>
      </c>
      <c r="B172" s="45" t="s">
        <v>253</v>
      </c>
      <c r="C172" s="14" t="s">
        <v>128</v>
      </c>
      <c r="D172" s="43">
        <f>D173</f>
        <v>360.24</v>
      </c>
    </row>
    <row r="173" spans="1:4" ht="15">
      <c r="A173" s="52" t="s">
        <v>125</v>
      </c>
      <c r="B173" s="45" t="s">
        <v>253</v>
      </c>
      <c r="C173" s="14" t="s">
        <v>254</v>
      </c>
      <c r="D173" s="43">
        <f>295.76+64.48</f>
        <v>360.24</v>
      </c>
    </row>
    <row r="174" spans="1:4" ht="46.5">
      <c r="A174" s="58" t="s">
        <v>400</v>
      </c>
      <c r="B174" s="45" t="s">
        <v>253</v>
      </c>
      <c r="C174" s="14"/>
      <c r="D174" s="43">
        <f>D175</f>
        <v>64.48</v>
      </c>
    </row>
    <row r="175" spans="1:4" ht="15">
      <c r="A175" s="52" t="s">
        <v>123</v>
      </c>
      <c r="B175" s="45" t="s">
        <v>253</v>
      </c>
      <c r="C175" s="14" t="s">
        <v>128</v>
      </c>
      <c r="D175" s="43">
        <f>D176</f>
        <v>64.48</v>
      </c>
    </row>
    <row r="176" spans="1:4" ht="15">
      <c r="A176" s="52" t="s">
        <v>125</v>
      </c>
      <c r="B176" s="45" t="s">
        <v>253</v>
      </c>
      <c r="C176" s="14" t="s">
        <v>254</v>
      </c>
      <c r="D176" s="43">
        <v>64.48</v>
      </c>
    </row>
    <row r="177" spans="1:4" ht="30.75">
      <c r="A177" s="57" t="s">
        <v>255</v>
      </c>
      <c r="B177" s="45" t="s">
        <v>256</v>
      </c>
      <c r="C177" s="14"/>
      <c r="D177" s="43">
        <f>D178+D181</f>
        <v>12108.70749</v>
      </c>
    </row>
    <row r="178" spans="1:4" ht="30.75">
      <c r="A178" s="15" t="s">
        <v>257</v>
      </c>
      <c r="B178" s="45" t="s">
        <v>258</v>
      </c>
      <c r="C178" s="14"/>
      <c r="D178" s="43">
        <f>D179</f>
        <v>4500</v>
      </c>
    </row>
    <row r="179" spans="1:4" ht="15">
      <c r="A179" s="15" t="s">
        <v>123</v>
      </c>
      <c r="B179" s="45" t="s">
        <v>258</v>
      </c>
      <c r="C179" s="14" t="s">
        <v>124</v>
      </c>
      <c r="D179" s="43">
        <f>D180</f>
        <v>4500</v>
      </c>
    </row>
    <row r="180" spans="1:4" ht="15">
      <c r="A180" s="15" t="s">
        <v>125</v>
      </c>
      <c r="B180" s="45" t="s">
        <v>258</v>
      </c>
      <c r="C180" s="14" t="s">
        <v>126</v>
      </c>
      <c r="D180" s="43">
        <v>4500</v>
      </c>
    </row>
    <row r="181" spans="1:4" ht="15">
      <c r="A181" s="15" t="s">
        <v>259</v>
      </c>
      <c r="B181" s="45" t="s">
        <v>258</v>
      </c>
      <c r="C181" s="14"/>
      <c r="D181" s="43">
        <f>D182</f>
        <v>7608.707490000001</v>
      </c>
    </row>
    <row r="182" spans="1:4" ht="15">
      <c r="A182" s="15" t="s">
        <v>123</v>
      </c>
      <c r="B182" s="45" t="s">
        <v>258</v>
      </c>
      <c r="C182" s="14" t="s">
        <v>124</v>
      </c>
      <c r="D182" s="43">
        <f>D183</f>
        <v>7608.707490000001</v>
      </c>
    </row>
    <row r="183" spans="1:4" ht="15">
      <c r="A183" s="15" t="s">
        <v>125</v>
      </c>
      <c r="B183" s="45" t="s">
        <v>258</v>
      </c>
      <c r="C183" s="14" t="s">
        <v>126</v>
      </c>
      <c r="D183" s="43">
        <f>700+2000+42.08385+776.9306+135+3954.69304</f>
        <v>7608.707490000001</v>
      </c>
    </row>
    <row r="184" spans="1:4" ht="30.75">
      <c r="A184" s="59" t="s">
        <v>260</v>
      </c>
      <c r="B184" s="45" t="s">
        <v>261</v>
      </c>
      <c r="C184" s="14"/>
      <c r="D184" s="43">
        <f>D185</f>
        <v>2550</v>
      </c>
    </row>
    <row r="185" spans="1:4" ht="15">
      <c r="A185" s="52" t="s">
        <v>123</v>
      </c>
      <c r="B185" s="45" t="s">
        <v>261</v>
      </c>
      <c r="C185" s="14" t="s">
        <v>124</v>
      </c>
      <c r="D185" s="43">
        <f>D186</f>
        <v>2550</v>
      </c>
    </row>
    <row r="186" spans="1:4" ht="15">
      <c r="A186" s="15" t="s">
        <v>125</v>
      </c>
      <c r="B186" s="45" t="s">
        <v>261</v>
      </c>
      <c r="C186" s="14" t="s">
        <v>126</v>
      </c>
      <c r="D186" s="43">
        <f>1800+750</f>
        <v>2550</v>
      </c>
    </row>
    <row r="187" spans="1:4" ht="15">
      <c r="A187" s="52" t="s">
        <v>219</v>
      </c>
      <c r="B187" s="45" t="s">
        <v>220</v>
      </c>
      <c r="C187" s="14"/>
      <c r="D187" s="43">
        <f>D188</f>
        <v>261</v>
      </c>
    </row>
    <row r="188" spans="1:4" ht="30.75">
      <c r="A188" s="57" t="s">
        <v>221</v>
      </c>
      <c r="B188" s="45" t="s">
        <v>220</v>
      </c>
      <c r="C188" s="14"/>
      <c r="D188" s="43">
        <f>D189</f>
        <v>261</v>
      </c>
    </row>
    <row r="189" spans="1:4" ht="15">
      <c r="A189" s="52" t="s">
        <v>223</v>
      </c>
      <c r="B189" s="45" t="s">
        <v>224</v>
      </c>
      <c r="C189" s="14"/>
      <c r="D189" s="43">
        <f>D190</f>
        <v>261</v>
      </c>
    </row>
    <row r="190" spans="1:4" ht="37.5" customHeight="1">
      <c r="A190" s="52" t="s">
        <v>225</v>
      </c>
      <c r="B190" s="45" t="s">
        <v>226</v>
      </c>
      <c r="C190" s="14"/>
      <c r="D190" s="43">
        <f>D191</f>
        <v>261</v>
      </c>
    </row>
    <row r="191" spans="1:4" ht="15">
      <c r="A191" s="15" t="s">
        <v>123</v>
      </c>
      <c r="B191" s="45" t="s">
        <v>226</v>
      </c>
      <c r="C191" s="14" t="s">
        <v>124</v>
      </c>
      <c r="D191" s="43">
        <f>D192</f>
        <v>261</v>
      </c>
    </row>
    <row r="192" spans="1:4" ht="15">
      <c r="A192" s="15" t="s">
        <v>125</v>
      </c>
      <c r="B192" s="45" t="s">
        <v>226</v>
      </c>
      <c r="C192" s="14" t="s">
        <v>126</v>
      </c>
      <c r="D192" s="43">
        <f>214+47</f>
        <v>261</v>
      </c>
    </row>
    <row r="193" spans="1:4" ht="46.5">
      <c r="A193" s="108" t="s">
        <v>441</v>
      </c>
      <c r="B193" s="33" t="s">
        <v>442</v>
      </c>
      <c r="C193" s="16"/>
      <c r="D193" s="53">
        <f>D194</f>
        <v>0</v>
      </c>
    </row>
    <row r="194" spans="1:4" ht="30.75">
      <c r="A194" s="15" t="s">
        <v>443</v>
      </c>
      <c r="B194" s="45" t="s">
        <v>444</v>
      </c>
      <c r="C194" s="98"/>
      <c r="D194" s="43">
        <f>D195</f>
        <v>0</v>
      </c>
    </row>
    <row r="195" spans="1:4" ht="15">
      <c r="A195" s="15" t="s">
        <v>445</v>
      </c>
      <c r="B195" s="45" t="s">
        <v>444</v>
      </c>
      <c r="C195" s="14" t="s">
        <v>340</v>
      </c>
      <c r="D195" s="43">
        <f>D196</f>
        <v>0</v>
      </c>
    </row>
    <row r="196" spans="1:4" ht="30.75">
      <c r="A196" s="15" t="s">
        <v>446</v>
      </c>
      <c r="B196" s="45" t="s">
        <v>444</v>
      </c>
      <c r="C196" s="14" t="s">
        <v>342</v>
      </c>
      <c r="D196" s="43">
        <v>0</v>
      </c>
    </row>
    <row r="197" spans="1:4" ht="46.5">
      <c r="A197" s="108" t="s">
        <v>236</v>
      </c>
      <c r="B197" s="33" t="s">
        <v>237</v>
      </c>
      <c r="C197" s="14"/>
      <c r="D197" s="13">
        <f>D198+D201</f>
        <v>62177.73706</v>
      </c>
    </row>
    <row r="198" spans="1:4" ht="62.25">
      <c r="A198" s="52" t="s">
        <v>240</v>
      </c>
      <c r="B198" s="45" t="s">
        <v>239</v>
      </c>
      <c r="C198" s="14"/>
      <c r="D198" s="51">
        <f>D199</f>
        <v>60177.73706</v>
      </c>
    </row>
    <row r="199" spans="1:4" ht="15">
      <c r="A199" s="15" t="s">
        <v>123</v>
      </c>
      <c r="B199" s="45" t="s">
        <v>239</v>
      </c>
      <c r="C199" s="14" t="s">
        <v>126</v>
      </c>
      <c r="D199" s="51">
        <f>D200</f>
        <v>60177.73706</v>
      </c>
    </row>
    <row r="200" spans="1:4" ht="15">
      <c r="A200" s="15" t="s">
        <v>125</v>
      </c>
      <c r="B200" s="45" t="s">
        <v>239</v>
      </c>
      <c r="C200" s="14" t="s">
        <v>126</v>
      </c>
      <c r="D200" s="51">
        <f>42956.33202+27997.62151-10776.21647</f>
        <v>60177.73706</v>
      </c>
    </row>
    <row r="201" spans="1:4" ht="62.25">
      <c r="A201" s="52" t="s">
        <v>447</v>
      </c>
      <c r="B201" s="45" t="s">
        <v>242</v>
      </c>
      <c r="C201" s="14"/>
      <c r="D201" s="51">
        <f>D202</f>
        <v>2000</v>
      </c>
    </row>
    <row r="202" spans="1:4" ht="15">
      <c r="A202" s="15" t="s">
        <v>123</v>
      </c>
      <c r="B202" s="45" t="s">
        <v>242</v>
      </c>
      <c r="C202" s="14" t="s">
        <v>126</v>
      </c>
      <c r="D202" s="51">
        <f>D203</f>
        <v>2000</v>
      </c>
    </row>
    <row r="203" spans="1:4" ht="15">
      <c r="A203" s="15" t="s">
        <v>125</v>
      </c>
      <c r="B203" s="45" t="s">
        <v>242</v>
      </c>
      <c r="C203" s="14" t="s">
        <v>126</v>
      </c>
      <c r="D203" s="51">
        <f>7000-5000</f>
        <v>2000</v>
      </c>
    </row>
    <row r="204" spans="1:4" ht="30.75">
      <c r="A204" s="108" t="s">
        <v>313</v>
      </c>
      <c r="B204" s="33" t="s">
        <v>315</v>
      </c>
      <c r="C204" s="14"/>
      <c r="D204" s="53">
        <f>D205</f>
        <v>60</v>
      </c>
    </row>
    <row r="205" spans="1:4" ht="15">
      <c r="A205" s="15" t="s">
        <v>123</v>
      </c>
      <c r="B205" s="45" t="s">
        <v>316</v>
      </c>
      <c r="C205" s="14" t="s">
        <v>124</v>
      </c>
      <c r="D205" s="43">
        <f>D206</f>
        <v>60</v>
      </c>
    </row>
    <row r="206" spans="1:4" ht="15">
      <c r="A206" s="15" t="s">
        <v>125</v>
      </c>
      <c r="B206" s="45" t="s">
        <v>316</v>
      </c>
      <c r="C206" s="14" t="s">
        <v>126</v>
      </c>
      <c r="D206" s="43">
        <f>1022-962</f>
        <v>60</v>
      </c>
    </row>
    <row r="207" spans="1:4" ht="60" customHeight="1" hidden="1">
      <c r="A207" s="108" t="s">
        <v>448</v>
      </c>
      <c r="B207" s="33" t="s">
        <v>449</v>
      </c>
      <c r="C207" s="14"/>
      <c r="D207" s="53">
        <f>D208+D211+D214</f>
        <v>6300</v>
      </c>
    </row>
    <row r="208" spans="1:4" ht="30.75" customHeight="1" hidden="1">
      <c r="A208" s="15" t="s">
        <v>257</v>
      </c>
      <c r="B208" s="45" t="s">
        <v>450</v>
      </c>
      <c r="C208" s="14"/>
      <c r="D208" s="43">
        <f>D209</f>
        <v>4500</v>
      </c>
    </row>
    <row r="209" spans="1:4" ht="15" customHeight="1" hidden="1">
      <c r="A209" s="52" t="s">
        <v>123</v>
      </c>
      <c r="B209" s="45" t="s">
        <v>450</v>
      </c>
      <c r="C209" s="14" t="s">
        <v>124</v>
      </c>
      <c r="D209" s="43">
        <f>D210</f>
        <v>4500</v>
      </c>
    </row>
    <row r="210" spans="1:4" ht="15" customHeight="1" hidden="1">
      <c r="A210" s="15" t="s">
        <v>125</v>
      </c>
      <c r="B210" s="45" t="s">
        <v>450</v>
      </c>
      <c r="C210" s="14" t="s">
        <v>126</v>
      </c>
      <c r="D210" s="43">
        <v>4500</v>
      </c>
    </row>
    <row r="211" spans="1:4" ht="15" customHeight="1" hidden="1">
      <c r="A211" s="15" t="s">
        <v>451</v>
      </c>
      <c r="B211" s="45" t="s">
        <v>452</v>
      </c>
      <c r="C211" s="14"/>
      <c r="D211" s="43">
        <f>D212</f>
        <v>0</v>
      </c>
    </row>
    <row r="212" spans="1:4" ht="15" customHeight="1" hidden="1">
      <c r="A212" s="15" t="s">
        <v>127</v>
      </c>
      <c r="B212" s="45" t="s">
        <v>452</v>
      </c>
      <c r="C212" s="16" t="s">
        <v>130</v>
      </c>
      <c r="D212" s="43">
        <f>D213</f>
        <v>0</v>
      </c>
    </row>
    <row r="213" spans="1:4" ht="15" customHeight="1" hidden="1">
      <c r="A213" s="15" t="s">
        <v>129</v>
      </c>
      <c r="B213" s="45" t="s">
        <v>452</v>
      </c>
      <c r="C213" s="16" t="s">
        <v>453</v>
      </c>
      <c r="D213" s="43">
        <v>0</v>
      </c>
    </row>
    <row r="214" spans="1:4" ht="15" customHeight="1" hidden="1">
      <c r="A214" s="15" t="s">
        <v>454</v>
      </c>
      <c r="B214" s="45" t="s">
        <v>455</v>
      </c>
      <c r="C214" s="14"/>
      <c r="D214" s="43">
        <f>D215</f>
        <v>1800</v>
      </c>
    </row>
    <row r="215" spans="1:4" ht="15" customHeight="1" hidden="1">
      <c r="A215" s="52" t="s">
        <v>123</v>
      </c>
      <c r="B215" s="45" t="s">
        <v>455</v>
      </c>
      <c r="C215" s="14" t="s">
        <v>124</v>
      </c>
      <c r="D215" s="43">
        <f>D216</f>
        <v>1800</v>
      </c>
    </row>
    <row r="216" spans="1:4" ht="15" customHeight="1" hidden="1">
      <c r="A216" s="15" t="s">
        <v>125</v>
      </c>
      <c r="B216" s="45" t="s">
        <v>455</v>
      </c>
      <c r="C216" s="14" t="s">
        <v>126</v>
      </c>
      <c r="D216" s="43">
        <v>1800</v>
      </c>
    </row>
    <row r="217" spans="1:4" ht="46.5" customHeight="1" hidden="1">
      <c r="A217" s="58" t="s">
        <v>456</v>
      </c>
      <c r="B217" s="45" t="s">
        <v>457</v>
      </c>
      <c r="C217" s="14"/>
      <c r="D217" s="43"/>
    </row>
    <row r="218" spans="1:4" ht="15" customHeight="1" hidden="1">
      <c r="A218" s="52" t="s">
        <v>123</v>
      </c>
      <c r="B218" s="45" t="s">
        <v>457</v>
      </c>
      <c r="C218" s="14" t="s">
        <v>124</v>
      </c>
      <c r="D218" s="43"/>
    </row>
    <row r="219" spans="1:4" ht="15" customHeight="1" hidden="1">
      <c r="A219" s="52" t="s">
        <v>125</v>
      </c>
      <c r="B219" s="45" t="s">
        <v>457</v>
      </c>
      <c r="C219" s="14" t="s">
        <v>126</v>
      </c>
      <c r="D219" s="43"/>
    </row>
    <row r="220" spans="1:4" ht="30.75">
      <c r="A220" s="108" t="s">
        <v>401</v>
      </c>
      <c r="B220" s="33" t="s">
        <v>163</v>
      </c>
      <c r="C220" s="14"/>
      <c r="D220" s="53">
        <f>D221+D224</f>
        <v>150</v>
      </c>
    </row>
    <row r="221" spans="1:4" ht="30.75">
      <c r="A221" s="15" t="s">
        <v>458</v>
      </c>
      <c r="B221" s="45" t="s">
        <v>263</v>
      </c>
      <c r="C221" s="14"/>
      <c r="D221" s="43">
        <f>D222</f>
        <v>130</v>
      </c>
    </row>
    <row r="222" spans="1:4" ht="15">
      <c r="A222" s="52" t="s">
        <v>123</v>
      </c>
      <c r="B222" s="45" t="s">
        <v>263</v>
      </c>
      <c r="C222" s="14" t="s">
        <v>124</v>
      </c>
      <c r="D222" s="43">
        <f>D223</f>
        <v>130</v>
      </c>
    </row>
    <row r="223" spans="1:5" s="22" customFormat="1" ht="15">
      <c r="A223" s="52" t="s">
        <v>125</v>
      </c>
      <c r="B223" s="45" t="s">
        <v>263</v>
      </c>
      <c r="C223" s="14" t="s">
        <v>126</v>
      </c>
      <c r="D223" s="43">
        <f>150-20</f>
        <v>130</v>
      </c>
      <c r="E223" s="214"/>
    </row>
    <row r="224" spans="1:5" s="22" customFormat="1" ht="15">
      <c r="A224" s="15" t="s">
        <v>164</v>
      </c>
      <c r="B224" s="45" t="s">
        <v>165</v>
      </c>
      <c r="C224" s="14"/>
      <c r="D224" s="43">
        <f>D225</f>
        <v>20</v>
      </c>
      <c r="E224" s="214"/>
    </row>
    <row r="225" spans="1:5" s="22" customFormat="1" ht="15">
      <c r="A225" s="52" t="s">
        <v>123</v>
      </c>
      <c r="B225" s="45" t="s">
        <v>165</v>
      </c>
      <c r="C225" s="14" t="s">
        <v>124</v>
      </c>
      <c r="D225" s="43">
        <f>D226</f>
        <v>20</v>
      </c>
      <c r="E225" s="214"/>
    </row>
    <row r="226" spans="1:5" s="22" customFormat="1" ht="15">
      <c r="A226" s="52" t="s">
        <v>125</v>
      </c>
      <c r="B226" s="45" t="s">
        <v>165</v>
      </c>
      <c r="C226" s="14" t="s">
        <v>126</v>
      </c>
      <c r="D226" s="43">
        <v>20</v>
      </c>
      <c r="E226" s="214"/>
    </row>
    <row r="227" spans="1:5" s="22" customFormat="1" ht="30.75">
      <c r="A227" s="108" t="s">
        <v>158</v>
      </c>
      <c r="B227" s="33" t="s">
        <v>229</v>
      </c>
      <c r="C227" s="14"/>
      <c r="D227" s="13">
        <f>D228+D233</f>
        <v>10193.8</v>
      </c>
      <c r="E227" s="214"/>
    </row>
    <row r="228" spans="1:4" ht="62.25">
      <c r="A228" s="113" t="s">
        <v>160</v>
      </c>
      <c r="B228" s="45" t="s">
        <v>459</v>
      </c>
      <c r="C228" s="114"/>
      <c r="D228" s="115">
        <f>D229+D231</f>
        <v>9993.8</v>
      </c>
    </row>
    <row r="229" spans="1:4" ht="15">
      <c r="A229" s="15" t="s">
        <v>123</v>
      </c>
      <c r="B229" s="45" t="s">
        <v>459</v>
      </c>
      <c r="C229" s="14" t="s">
        <v>124</v>
      </c>
      <c r="D229" s="43">
        <f>D230</f>
        <v>4630</v>
      </c>
    </row>
    <row r="230" spans="1:4" ht="15">
      <c r="A230" s="15" t="s">
        <v>125</v>
      </c>
      <c r="B230" s="45" t="s">
        <v>459</v>
      </c>
      <c r="C230" s="14" t="s">
        <v>126</v>
      </c>
      <c r="D230" s="51">
        <f>3450+700+2000-2020+500</f>
        <v>4630</v>
      </c>
    </row>
    <row r="231" spans="1:4" ht="15">
      <c r="A231" s="41" t="s">
        <v>127</v>
      </c>
      <c r="B231" s="45" t="s">
        <v>459</v>
      </c>
      <c r="C231" s="14" t="s">
        <v>128</v>
      </c>
      <c r="D231" s="51">
        <f>D232</f>
        <v>5363.8</v>
      </c>
    </row>
    <row r="232" spans="1:4" ht="15">
      <c r="A232" s="41" t="s">
        <v>129</v>
      </c>
      <c r="B232" s="45" t="s">
        <v>459</v>
      </c>
      <c r="C232" s="14" t="s">
        <v>130</v>
      </c>
      <c r="D232" s="51">
        <f>2020+10000-3000-1676.2-300-380-300-1000</f>
        <v>5363.8</v>
      </c>
    </row>
    <row r="233" spans="1:4" ht="15">
      <c r="A233" s="41" t="s">
        <v>230</v>
      </c>
      <c r="B233" s="45" t="s">
        <v>231</v>
      </c>
      <c r="C233" s="14"/>
      <c r="D233" s="43">
        <f>D234</f>
        <v>200</v>
      </c>
    </row>
    <row r="234" spans="1:4" ht="15">
      <c r="A234" s="15" t="s">
        <v>123</v>
      </c>
      <c r="B234" s="45" t="s">
        <v>231</v>
      </c>
      <c r="C234" s="14" t="s">
        <v>124</v>
      </c>
      <c r="D234" s="43">
        <f>D235</f>
        <v>200</v>
      </c>
    </row>
    <row r="235" spans="1:4" ht="15">
      <c r="A235" s="116" t="s">
        <v>125</v>
      </c>
      <c r="B235" s="45" t="s">
        <v>231</v>
      </c>
      <c r="C235" s="117" t="s">
        <v>126</v>
      </c>
      <c r="D235" s="118">
        <v>200</v>
      </c>
    </row>
    <row r="236" spans="1:4" ht="15">
      <c r="A236" s="119" t="s">
        <v>460</v>
      </c>
      <c r="B236" s="120"/>
      <c r="C236" s="121"/>
      <c r="D236" s="122">
        <f>D227+D220+D204+D197+D193+D110+D67+D55+D46+D34+D18</f>
        <v>455837.3086</v>
      </c>
    </row>
    <row r="237" spans="1:4" ht="46.5">
      <c r="A237" s="123" t="s">
        <v>105</v>
      </c>
      <c r="B237" s="38" t="s">
        <v>461</v>
      </c>
      <c r="C237" s="14"/>
      <c r="D237" s="13">
        <f>D242+D245+D248+D251+D254+D261+D238</f>
        <v>34471</v>
      </c>
    </row>
    <row r="238" spans="1:4" ht="15.75">
      <c r="A238" s="32" t="s">
        <v>139</v>
      </c>
      <c r="B238" s="42" t="s">
        <v>141</v>
      </c>
      <c r="C238" s="14"/>
      <c r="D238" s="43">
        <f>D239</f>
        <v>712</v>
      </c>
    </row>
    <row r="239" spans="1:4" ht="15">
      <c r="A239" s="41" t="s">
        <v>142</v>
      </c>
      <c r="B239" s="42" t="s">
        <v>141</v>
      </c>
      <c r="C239" s="14"/>
      <c r="D239" s="43">
        <f>D240</f>
        <v>712</v>
      </c>
    </row>
    <row r="240" spans="1:4" ht="15">
      <c r="A240" s="41" t="s">
        <v>127</v>
      </c>
      <c r="B240" s="42" t="s">
        <v>141</v>
      </c>
      <c r="C240" s="14" t="s">
        <v>128</v>
      </c>
      <c r="D240" s="43">
        <f>D241</f>
        <v>712</v>
      </c>
    </row>
    <row r="241" spans="1:4" ht="15">
      <c r="A241" s="41" t="s">
        <v>143</v>
      </c>
      <c r="B241" s="42" t="s">
        <v>141</v>
      </c>
      <c r="C241" s="14" t="s">
        <v>144</v>
      </c>
      <c r="D241" s="43">
        <v>712</v>
      </c>
    </row>
    <row r="242" spans="1:4" ht="15">
      <c r="A242" s="41" t="s">
        <v>107</v>
      </c>
      <c r="B242" s="42" t="s">
        <v>108</v>
      </c>
      <c r="C242" s="1"/>
      <c r="D242" s="43">
        <f>D243</f>
        <v>1801</v>
      </c>
    </row>
    <row r="243" spans="1:4" ht="46.5">
      <c r="A243" s="41" t="s">
        <v>109</v>
      </c>
      <c r="B243" s="42" t="s">
        <v>108</v>
      </c>
      <c r="C243" s="1" t="s">
        <v>110</v>
      </c>
      <c r="D243" s="43">
        <f>D244</f>
        <v>1801</v>
      </c>
    </row>
    <row r="244" spans="1:4" ht="15">
      <c r="A244" s="41" t="s">
        <v>111</v>
      </c>
      <c r="B244" s="42" t="s">
        <v>108</v>
      </c>
      <c r="C244" s="1" t="s">
        <v>112</v>
      </c>
      <c r="D244" s="43">
        <f>1364+437</f>
        <v>1801</v>
      </c>
    </row>
    <row r="245" spans="1:4" ht="15">
      <c r="A245" s="44" t="s">
        <v>137</v>
      </c>
      <c r="B245" s="42" t="s">
        <v>138</v>
      </c>
      <c r="C245" s="117"/>
      <c r="D245" s="124">
        <f>D246</f>
        <v>1506</v>
      </c>
    </row>
    <row r="246" spans="1:4" ht="46.5">
      <c r="A246" s="41" t="s">
        <v>109</v>
      </c>
      <c r="B246" s="42" t="s">
        <v>138</v>
      </c>
      <c r="C246" s="14" t="s">
        <v>110</v>
      </c>
      <c r="D246" s="43">
        <f>D247</f>
        <v>1506</v>
      </c>
    </row>
    <row r="247" spans="1:4" ht="15">
      <c r="A247" s="41" t="s">
        <v>111</v>
      </c>
      <c r="B247" s="42" t="s">
        <v>138</v>
      </c>
      <c r="C247" s="14" t="s">
        <v>112</v>
      </c>
      <c r="D247" s="43">
        <f>1264+242</f>
        <v>1506</v>
      </c>
    </row>
    <row r="248" spans="1:4" ht="15">
      <c r="A248" s="41" t="s">
        <v>133</v>
      </c>
      <c r="B248" s="45" t="s">
        <v>134</v>
      </c>
      <c r="C248" s="117"/>
      <c r="D248" s="118">
        <f>D249</f>
        <v>8178.2</v>
      </c>
    </row>
    <row r="249" spans="1:4" ht="46.5">
      <c r="A249" s="41" t="s">
        <v>109</v>
      </c>
      <c r="B249" s="45" t="s">
        <v>134</v>
      </c>
      <c r="C249" s="14" t="s">
        <v>110</v>
      </c>
      <c r="D249" s="118">
        <f>D250</f>
        <v>8178.2</v>
      </c>
    </row>
    <row r="250" spans="1:4" ht="15">
      <c r="A250" s="41" t="s">
        <v>111</v>
      </c>
      <c r="B250" s="45" t="s">
        <v>134</v>
      </c>
      <c r="C250" s="14" t="s">
        <v>112</v>
      </c>
      <c r="D250" s="118">
        <f>6191.2+226+1761</f>
        <v>8178.2</v>
      </c>
    </row>
    <row r="251" spans="1:4" ht="15">
      <c r="A251" s="41" t="s">
        <v>119</v>
      </c>
      <c r="B251" s="45" t="s">
        <v>462</v>
      </c>
      <c r="C251" s="14"/>
      <c r="D251" s="43">
        <f>D252</f>
        <v>12307.8</v>
      </c>
    </row>
    <row r="252" spans="1:4" ht="46.5">
      <c r="A252" s="41" t="s">
        <v>109</v>
      </c>
      <c r="B252" s="45" t="s">
        <v>462</v>
      </c>
      <c r="C252" s="14" t="s">
        <v>110</v>
      </c>
      <c r="D252" s="43">
        <f>D253</f>
        <v>12307.8</v>
      </c>
    </row>
    <row r="253" spans="1:4" ht="15">
      <c r="A253" s="41" t="s">
        <v>111</v>
      </c>
      <c r="B253" s="45" t="s">
        <v>462</v>
      </c>
      <c r="C253" s="14" t="s">
        <v>112</v>
      </c>
      <c r="D253" s="43">
        <f>5667.8+750+2000+271+340+230+3049</f>
        <v>12307.8</v>
      </c>
    </row>
    <row r="254" spans="1:4" ht="15">
      <c r="A254" s="41" t="s">
        <v>121</v>
      </c>
      <c r="B254" s="45" t="s">
        <v>122</v>
      </c>
      <c r="C254" s="14"/>
      <c r="D254" s="43">
        <f>D255+D257+D259</f>
        <v>8095</v>
      </c>
    </row>
    <row r="255" spans="1:4" ht="46.5">
      <c r="A255" s="41" t="s">
        <v>109</v>
      </c>
      <c r="B255" s="45" t="s">
        <v>122</v>
      </c>
      <c r="C255" s="14" t="s">
        <v>110</v>
      </c>
      <c r="D255" s="43">
        <f>D256</f>
        <v>22</v>
      </c>
    </row>
    <row r="256" spans="1:4" ht="15">
      <c r="A256" s="41" t="s">
        <v>111</v>
      </c>
      <c r="B256" s="45" t="s">
        <v>122</v>
      </c>
      <c r="C256" s="14" t="s">
        <v>112</v>
      </c>
      <c r="D256" s="43">
        <v>22</v>
      </c>
    </row>
    <row r="257" spans="1:4" ht="15">
      <c r="A257" s="41" t="s">
        <v>123</v>
      </c>
      <c r="B257" s="45" t="s">
        <v>122</v>
      </c>
      <c r="C257" s="14" t="s">
        <v>124</v>
      </c>
      <c r="D257" s="43">
        <f>D258</f>
        <v>7962</v>
      </c>
    </row>
    <row r="258" spans="1:4" ht="15">
      <c r="A258" s="41" t="s">
        <v>125</v>
      </c>
      <c r="B258" s="45" t="s">
        <v>122</v>
      </c>
      <c r="C258" s="14" t="s">
        <v>126</v>
      </c>
      <c r="D258" s="43">
        <f>275+4192+1995+1500</f>
        <v>7962</v>
      </c>
    </row>
    <row r="259" spans="1:4" ht="15">
      <c r="A259" s="41" t="s">
        <v>127</v>
      </c>
      <c r="B259" s="45" t="s">
        <v>122</v>
      </c>
      <c r="C259" s="14" t="s">
        <v>128</v>
      </c>
      <c r="D259" s="43">
        <f>D260</f>
        <v>111</v>
      </c>
    </row>
    <row r="260" spans="1:4" ht="15">
      <c r="A260" s="41" t="s">
        <v>129</v>
      </c>
      <c r="B260" s="45" t="s">
        <v>122</v>
      </c>
      <c r="C260" s="14" t="s">
        <v>130</v>
      </c>
      <c r="D260" s="43">
        <f>15+95+1</f>
        <v>111</v>
      </c>
    </row>
    <row r="261" spans="1:4" ht="15">
      <c r="A261" s="44" t="s">
        <v>115</v>
      </c>
      <c r="B261" s="42" t="s">
        <v>463</v>
      </c>
      <c r="C261" s="109"/>
      <c r="D261" s="17">
        <f>D262</f>
        <v>1871</v>
      </c>
    </row>
    <row r="262" spans="1:4" ht="46.5">
      <c r="A262" s="41" t="s">
        <v>109</v>
      </c>
      <c r="B262" s="42" t="s">
        <v>116</v>
      </c>
      <c r="C262" s="1" t="s">
        <v>110</v>
      </c>
      <c r="D262" s="17">
        <f>D263</f>
        <v>1871</v>
      </c>
    </row>
    <row r="263" spans="1:4" ht="15">
      <c r="A263" s="41" t="s">
        <v>111</v>
      </c>
      <c r="B263" s="42" t="s">
        <v>116</v>
      </c>
      <c r="C263" s="1" t="s">
        <v>112</v>
      </c>
      <c r="D263" s="17">
        <f>1340+761-230</f>
        <v>1871</v>
      </c>
    </row>
    <row r="264" spans="1:4" ht="15">
      <c r="A264" s="125" t="s">
        <v>166</v>
      </c>
      <c r="B264" s="33" t="s">
        <v>335</v>
      </c>
      <c r="C264" s="126"/>
      <c r="D264" s="127">
        <f>D265+D268+D279+D285+D289+D275+D283</f>
        <v>22861.162259999997</v>
      </c>
    </row>
    <row r="265" spans="1:4" ht="30.75">
      <c r="A265" s="44" t="s">
        <v>337</v>
      </c>
      <c r="B265" s="45" t="s">
        <v>338</v>
      </c>
      <c r="C265" s="1"/>
      <c r="D265" s="17">
        <f>D267</f>
        <v>780</v>
      </c>
    </row>
    <row r="266" spans="1:4" ht="15">
      <c r="A266" s="44" t="s">
        <v>339</v>
      </c>
      <c r="B266" s="45" t="s">
        <v>338</v>
      </c>
      <c r="C266" s="14" t="s">
        <v>340</v>
      </c>
      <c r="D266" s="17">
        <f>D267</f>
        <v>780</v>
      </c>
    </row>
    <row r="267" spans="1:4" ht="15">
      <c r="A267" s="44" t="s">
        <v>341</v>
      </c>
      <c r="B267" s="45" t="s">
        <v>338</v>
      </c>
      <c r="C267" s="14" t="s">
        <v>342</v>
      </c>
      <c r="D267" s="17">
        <f>710+70</f>
        <v>780</v>
      </c>
    </row>
    <row r="268" spans="1:4" ht="46.5">
      <c r="A268" s="44" t="s">
        <v>464</v>
      </c>
      <c r="B268" s="45" t="s">
        <v>335</v>
      </c>
      <c r="C268" s="1"/>
      <c r="D268" s="17">
        <f>D269+D271+D273</f>
        <v>12409</v>
      </c>
    </row>
    <row r="269" spans="1:4" ht="46.5">
      <c r="A269" s="41" t="s">
        <v>109</v>
      </c>
      <c r="B269" s="42" t="s">
        <v>169</v>
      </c>
      <c r="C269" s="1" t="s">
        <v>110</v>
      </c>
      <c r="D269" s="43">
        <f>D270</f>
        <v>11293</v>
      </c>
    </row>
    <row r="270" spans="1:4" ht="15">
      <c r="A270" s="41" t="s">
        <v>170</v>
      </c>
      <c r="B270" s="42" t="s">
        <v>169</v>
      </c>
      <c r="C270" s="1" t="s">
        <v>171</v>
      </c>
      <c r="D270" s="43">
        <f>9260+2033</f>
        <v>11293</v>
      </c>
    </row>
    <row r="271" spans="1:4" ht="15">
      <c r="A271" s="52" t="s">
        <v>123</v>
      </c>
      <c r="B271" s="42" t="s">
        <v>169</v>
      </c>
      <c r="C271" s="14" t="s">
        <v>124</v>
      </c>
      <c r="D271" s="43">
        <f>D272</f>
        <v>1113</v>
      </c>
    </row>
    <row r="272" spans="1:4" ht="15">
      <c r="A272" s="52" t="s">
        <v>125</v>
      </c>
      <c r="B272" s="42" t="s">
        <v>169</v>
      </c>
      <c r="C272" s="14" t="s">
        <v>126</v>
      </c>
      <c r="D272" s="43">
        <f>435+300+154+65.7+5+70.3-1.5+86-7.5+6</f>
        <v>1113</v>
      </c>
    </row>
    <row r="273" spans="1:4" ht="15">
      <c r="A273" s="41" t="s">
        <v>127</v>
      </c>
      <c r="B273" s="42" t="s">
        <v>169</v>
      </c>
      <c r="C273" s="14" t="s">
        <v>128</v>
      </c>
      <c r="D273" s="17">
        <f>D274</f>
        <v>3</v>
      </c>
    </row>
    <row r="274" spans="1:4" ht="15">
      <c r="A274" s="41" t="s">
        <v>129</v>
      </c>
      <c r="B274" s="42" t="s">
        <v>169</v>
      </c>
      <c r="C274" s="14" t="s">
        <v>130</v>
      </c>
      <c r="D274" s="17">
        <v>3</v>
      </c>
    </row>
    <row r="275" spans="1:4" ht="15" hidden="1">
      <c r="A275" s="92" t="s">
        <v>368</v>
      </c>
      <c r="B275" s="42" t="s">
        <v>370</v>
      </c>
      <c r="C275" s="14"/>
      <c r="D275" s="17">
        <f>D276</f>
        <v>2240</v>
      </c>
    </row>
    <row r="276" spans="1:4" ht="15" hidden="1">
      <c r="A276" s="78" t="s">
        <v>371</v>
      </c>
      <c r="B276" s="42" t="s">
        <v>370</v>
      </c>
      <c r="C276" s="14"/>
      <c r="D276" s="17">
        <f>D277</f>
        <v>2240</v>
      </c>
    </row>
    <row r="277" spans="1:4" ht="15">
      <c r="A277" s="78" t="s">
        <v>372</v>
      </c>
      <c r="B277" s="42" t="s">
        <v>370</v>
      </c>
      <c r="C277" s="14" t="s">
        <v>373</v>
      </c>
      <c r="D277" s="17">
        <f>D278</f>
        <v>2240</v>
      </c>
    </row>
    <row r="278" spans="1:4" ht="15">
      <c r="A278" s="81" t="s">
        <v>374</v>
      </c>
      <c r="B278" s="42" t="s">
        <v>370</v>
      </c>
      <c r="C278" s="14" t="s">
        <v>375</v>
      </c>
      <c r="D278" s="17">
        <f>990+800+450</f>
        <v>2240</v>
      </c>
    </row>
    <row r="279" spans="1:4" ht="15">
      <c r="A279" s="48" t="s">
        <v>145</v>
      </c>
      <c r="B279" s="45" t="s">
        <v>465</v>
      </c>
      <c r="C279" s="14"/>
      <c r="D279" s="43">
        <f>D280</f>
        <v>4776.162259999999</v>
      </c>
    </row>
    <row r="280" spans="1:4" ht="15">
      <c r="A280" s="44" t="s">
        <v>149</v>
      </c>
      <c r="B280" s="45" t="s">
        <v>465</v>
      </c>
      <c r="C280" s="14"/>
      <c r="D280" s="43">
        <f>D281</f>
        <v>4776.162259999999</v>
      </c>
    </row>
    <row r="281" spans="1:4" ht="15">
      <c r="A281" s="41" t="s">
        <v>127</v>
      </c>
      <c r="B281" s="45" t="s">
        <v>465</v>
      </c>
      <c r="C281" s="14" t="s">
        <v>128</v>
      </c>
      <c r="D281" s="43">
        <f>D282</f>
        <v>4776.162259999999</v>
      </c>
    </row>
    <row r="282" spans="1:4" ht="15">
      <c r="A282" s="44" t="s">
        <v>150</v>
      </c>
      <c r="B282" s="45" t="s">
        <v>465</v>
      </c>
      <c r="C282" s="14" t="s">
        <v>151</v>
      </c>
      <c r="D282" s="43">
        <f>1000-450.13025+9000-42.08385-776.9306-3954.69304</f>
        <v>4776.162259999999</v>
      </c>
    </row>
    <row r="283" spans="1:4" ht="46.5">
      <c r="A283" s="41" t="s">
        <v>109</v>
      </c>
      <c r="B283" s="45" t="s">
        <v>134</v>
      </c>
      <c r="C283" s="45" t="s">
        <v>110</v>
      </c>
      <c r="D283" s="43">
        <f>D284</f>
        <v>230</v>
      </c>
    </row>
    <row r="284" spans="1:4" ht="15">
      <c r="A284" s="41" t="s">
        <v>111</v>
      </c>
      <c r="B284" s="45" t="s">
        <v>134</v>
      </c>
      <c r="C284" s="45" t="s">
        <v>112</v>
      </c>
      <c r="D284" s="43">
        <v>230</v>
      </c>
    </row>
    <row r="285" spans="1:4" ht="30.75">
      <c r="A285" s="18" t="s">
        <v>365</v>
      </c>
      <c r="B285" s="45" t="s">
        <v>366</v>
      </c>
      <c r="C285" s="1"/>
      <c r="D285" s="43">
        <f>D286</f>
        <v>1478</v>
      </c>
    </row>
    <row r="286" spans="1:4" ht="30.75">
      <c r="A286" s="18" t="s">
        <v>367</v>
      </c>
      <c r="B286" s="45" t="s">
        <v>366</v>
      </c>
      <c r="C286" s="1"/>
      <c r="D286" s="43">
        <f>D287</f>
        <v>1478</v>
      </c>
    </row>
    <row r="287" spans="1:4" ht="15">
      <c r="A287" s="15" t="s">
        <v>123</v>
      </c>
      <c r="B287" s="45" t="s">
        <v>366</v>
      </c>
      <c r="C287" s="1" t="s">
        <v>124</v>
      </c>
      <c r="D287" s="43">
        <f>D288</f>
        <v>1478</v>
      </c>
    </row>
    <row r="288" spans="1:4" ht="15">
      <c r="A288" s="15" t="s">
        <v>125</v>
      </c>
      <c r="B288" s="45" t="s">
        <v>366</v>
      </c>
      <c r="C288" s="1" t="s">
        <v>126</v>
      </c>
      <c r="D288" s="43">
        <f>1000+380+98</f>
        <v>1478</v>
      </c>
    </row>
    <row r="289" spans="1:4" ht="30.75">
      <c r="A289" s="54" t="s">
        <v>177</v>
      </c>
      <c r="B289" s="45" t="s">
        <v>176</v>
      </c>
      <c r="C289" s="14"/>
      <c r="D289" s="43">
        <f>D290+D292</f>
        <v>948</v>
      </c>
    </row>
    <row r="290" spans="1:4" ht="46.5">
      <c r="A290" s="41" t="s">
        <v>109</v>
      </c>
      <c r="B290" s="45" t="s">
        <v>176</v>
      </c>
      <c r="C290" s="14" t="s">
        <v>110</v>
      </c>
      <c r="D290" s="43">
        <f>D291</f>
        <v>853.7</v>
      </c>
    </row>
    <row r="291" spans="1:4" ht="15">
      <c r="A291" s="41" t="s">
        <v>111</v>
      </c>
      <c r="B291" s="45" t="s">
        <v>176</v>
      </c>
      <c r="C291" s="14" t="s">
        <v>112</v>
      </c>
      <c r="D291" s="43">
        <f>705.7+62+9+77</f>
        <v>853.7</v>
      </c>
    </row>
    <row r="292" spans="1:4" ht="15">
      <c r="A292" s="52" t="s">
        <v>123</v>
      </c>
      <c r="B292" s="45" t="s">
        <v>176</v>
      </c>
      <c r="C292" s="14" t="s">
        <v>124</v>
      </c>
      <c r="D292" s="128">
        <f>D293</f>
        <v>94.3</v>
      </c>
    </row>
    <row r="293" spans="1:4" ht="15">
      <c r="A293" s="52" t="s">
        <v>125</v>
      </c>
      <c r="B293" s="45" t="s">
        <v>176</v>
      </c>
      <c r="C293" s="14" t="s">
        <v>126</v>
      </c>
      <c r="D293" s="43">
        <v>94.3</v>
      </c>
    </row>
    <row r="294" spans="1:4" ht="15">
      <c r="A294" s="129" t="s">
        <v>376</v>
      </c>
      <c r="B294" s="130"/>
      <c r="C294" s="109"/>
      <c r="D294" s="131">
        <f>D264+D237+D236</f>
        <v>513169.47086</v>
      </c>
    </row>
  </sheetData>
  <sheetProtection selectLockedCells="1" selectUnlockedCells="1"/>
  <mergeCells count="1">
    <mergeCell ref="A14:D14"/>
  </mergeCells>
  <printOptions horizontalCentered="1"/>
  <pageMargins left="0.2755905511811024" right="0.2362204724409449" top="0.31496062992125984" bottom="0.5118110236220472" header="0.5118110236220472" footer="0.2362204724409449"/>
  <pageSetup fitToHeight="4" horizontalDpi="300" verticalDpi="300" orientation="portrait" paperSize="9" scale="75" r:id="rId1"/>
  <headerFooter alignWithMargins="0">
    <oddFooter>&amp;L________________________А.М.Журова&amp;R_________________________Н.А.Грунина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6"/>
  <sheetViews>
    <sheetView view="pageBreakPreview" zoomScale="60" zoomScalePageLayoutView="0" workbookViewId="0" topLeftCell="A1">
      <selection activeCell="D2" sqref="D2:E5"/>
    </sheetView>
  </sheetViews>
  <sheetFormatPr defaultColWidth="19.50390625" defaultRowHeight="12.75"/>
  <cols>
    <col min="1" max="1" width="8.50390625" style="132" customWidth="1"/>
    <col min="2" max="2" width="25.875" style="133" customWidth="1"/>
    <col min="3" max="3" width="52.875" style="134" customWidth="1"/>
    <col min="4" max="4" width="21.125" style="134" customWidth="1"/>
    <col min="5" max="5" width="12.125" style="135" customWidth="1"/>
    <col min="6" max="6" width="11.125" style="136" customWidth="1"/>
    <col min="7" max="8" width="9.50390625" style="9" customWidth="1"/>
    <col min="9" max="18" width="9.50390625" style="137" customWidth="1"/>
    <col min="19" max="16384" width="19.50390625" style="137" customWidth="1"/>
  </cols>
  <sheetData>
    <row r="1" spans="4:5" ht="15">
      <c r="D1" s="9" t="s">
        <v>730</v>
      </c>
      <c r="E1" s="99"/>
    </row>
    <row r="2" spans="4:5" ht="15">
      <c r="D2" s="9" t="s">
        <v>738</v>
      </c>
      <c r="E2" s="99"/>
    </row>
    <row r="3" spans="4:5" ht="15">
      <c r="D3" s="9" t="s">
        <v>739</v>
      </c>
      <c r="E3" s="99"/>
    </row>
    <row r="4" spans="4:5" ht="15">
      <c r="D4" s="9" t="s">
        <v>740</v>
      </c>
      <c r="E4" s="99"/>
    </row>
    <row r="5" spans="4:5" ht="15">
      <c r="D5" s="9" t="s">
        <v>741</v>
      </c>
      <c r="E5" s="99"/>
    </row>
    <row r="6" spans="4:5" ht="15">
      <c r="D6" s="27" t="s">
        <v>90</v>
      </c>
      <c r="E6" s="99"/>
    </row>
    <row r="7" spans="4:5" ht="15">
      <c r="D7" s="27"/>
      <c r="E7" s="99"/>
    </row>
    <row r="8" spans="4:5" ht="15">
      <c r="D8" s="9" t="s">
        <v>466</v>
      </c>
      <c r="E8" s="99"/>
    </row>
    <row r="9" spans="4:5" ht="15">
      <c r="D9" s="9" t="s">
        <v>412</v>
      </c>
      <c r="E9" s="99"/>
    </row>
    <row r="10" spans="4:5" ht="15">
      <c r="D10" s="9" t="s">
        <v>87</v>
      </c>
      <c r="E10" s="99"/>
    </row>
    <row r="11" spans="4:5" ht="15">
      <c r="D11" s="9" t="s">
        <v>413</v>
      </c>
      <c r="E11" s="99"/>
    </row>
    <row r="12" spans="4:5" ht="15">
      <c r="D12" s="9" t="s">
        <v>89</v>
      </c>
      <c r="E12" s="99"/>
    </row>
    <row r="13" spans="4:8" ht="15" customHeight="1">
      <c r="D13" s="27" t="s">
        <v>378</v>
      </c>
      <c r="E13" s="99"/>
      <c r="F13" s="138"/>
      <c r="G13" s="137"/>
      <c r="H13" s="137"/>
    </row>
    <row r="14" spans="1:8" ht="39" customHeight="1">
      <c r="A14" s="284" t="s">
        <v>467</v>
      </c>
      <c r="B14" s="284"/>
      <c r="C14" s="284"/>
      <c r="D14" s="284"/>
      <c r="E14" s="284"/>
      <c r="F14" s="138"/>
      <c r="G14" s="137"/>
      <c r="H14" s="137"/>
    </row>
    <row r="15" spans="1:6" s="144" customFormat="1" ht="54" customHeight="1">
      <c r="A15" s="139" t="s">
        <v>468</v>
      </c>
      <c r="B15" s="140"/>
      <c r="C15" s="141" t="s">
        <v>469</v>
      </c>
      <c r="D15" s="141" t="s">
        <v>470</v>
      </c>
      <c r="E15" s="142" t="s">
        <v>471</v>
      </c>
      <c r="F15" s="143"/>
    </row>
    <row r="16" spans="1:7" s="148" customFormat="1" ht="30.75" customHeight="1">
      <c r="A16" s="285" t="s">
        <v>156</v>
      </c>
      <c r="B16" s="285"/>
      <c r="C16" s="285"/>
      <c r="D16" s="145" t="s">
        <v>472</v>
      </c>
      <c r="E16" s="146">
        <f>E17</f>
        <v>9993.8</v>
      </c>
      <c r="F16" s="147"/>
      <c r="G16" s="212"/>
    </row>
    <row r="17" spans="1:6" s="148" customFormat="1" ht="30.75" customHeight="1">
      <c r="A17" s="280" t="s">
        <v>473</v>
      </c>
      <c r="B17" s="280"/>
      <c r="C17" s="280"/>
      <c r="D17" s="145"/>
      <c r="E17" s="146">
        <f>SUM(E18:E21)</f>
        <v>9993.8</v>
      </c>
      <c r="F17" s="147"/>
    </row>
    <row r="18" spans="1:6" s="148" customFormat="1" ht="85.5" customHeight="1">
      <c r="A18" s="286" t="s">
        <v>474</v>
      </c>
      <c r="B18" s="6" t="s">
        <v>475</v>
      </c>
      <c r="C18" s="15" t="s">
        <v>160</v>
      </c>
      <c r="D18" s="145"/>
      <c r="E18" s="149">
        <f>6150-2020-325</f>
        <v>3805</v>
      </c>
      <c r="F18" s="147"/>
    </row>
    <row r="19" spans="1:6" s="148" customFormat="1" ht="41.25" customHeight="1">
      <c r="A19" s="286"/>
      <c r="B19" s="6" t="s">
        <v>476</v>
      </c>
      <c r="C19" s="150" t="s">
        <v>477</v>
      </c>
      <c r="D19" s="145"/>
      <c r="E19" s="149">
        <f>2020+10000-3000-1676.2-300-300-380-1000</f>
        <v>5363.8</v>
      </c>
      <c r="F19" s="151"/>
    </row>
    <row r="20" spans="1:6" s="148" customFormat="1" ht="45" customHeight="1">
      <c r="A20" s="2" t="s">
        <v>478</v>
      </c>
      <c r="B20" s="6" t="s">
        <v>475</v>
      </c>
      <c r="C20" s="15" t="s">
        <v>479</v>
      </c>
      <c r="D20" s="145"/>
      <c r="E20" s="149">
        <v>325</v>
      </c>
      <c r="F20" s="151"/>
    </row>
    <row r="21" spans="1:6" s="148" customFormat="1" ht="41.25" customHeight="1">
      <c r="A21" s="2" t="s">
        <v>588</v>
      </c>
      <c r="B21" s="6" t="s">
        <v>475</v>
      </c>
      <c r="C21" s="15" t="s">
        <v>589</v>
      </c>
      <c r="D21" s="145" t="s">
        <v>590</v>
      </c>
      <c r="E21" s="149">
        <v>500</v>
      </c>
      <c r="F21" s="147"/>
    </row>
    <row r="22" spans="1:8" ht="15" customHeight="1">
      <c r="A22" s="280" t="s">
        <v>480</v>
      </c>
      <c r="B22" s="280"/>
      <c r="C22" s="280"/>
      <c r="D22" s="152" t="s">
        <v>481</v>
      </c>
      <c r="E22" s="146">
        <f>E23+E42+E44</f>
        <v>98634.74059999999</v>
      </c>
      <c r="F22" s="138"/>
      <c r="G22" s="153"/>
      <c r="H22" s="137"/>
    </row>
    <row r="23" spans="1:8" ht="15" customHeight="1">
      <c r="A23" s="287" t="s">
        <v>482</v>
      </c>
      <c r="B23" s="287"/>
      <c r="C23" s="287"/>
      <c r="D23" s="152" t="s">
        <v>213</v>
      </c>
      <c r="E23" s="154">
        <f>E24+E38</f>
        <v>98173.74059999999</v>
      </c>
      <c r="F23" s="138"/>
      <c r="G23" s="137"/>
      <c r="H23" s="137"/>
    </row>
    <row r="24" spans="1:8" ht="31.5" customHeight="1">
      <c r="A24" s="273" t="s">
        <v>483</v>
      </c>
      <c r="B24" s="273"/>
      <c r="C24" s="273"/>
      <c r="D24" s="152"/>
      <c r="E24" s="154">
        <f>SUM(E26:E37)</f>
        <v>86175.77999999998</v>
      </c>
      <c r="F24" s="138"/>
      <c r="G24" s="137"/>
      <c r="H24" s="137"/>
    </row>
    <row r="25" spans="1:8" ht="15">
      <c r="A25" s="155"/>
      <c r="B25" s="5"/>
      <c r="C25" s="5" t="s">
        <v>484</v>
      </c>
      <c r="D25" s="152"/>
      <c r="E25" s="154">
        <f>SUM(E26:E29)</f>
        <v>28534.78</v>
      </c>
      <c r="F25" s="138"/>
      <c r="G25" s="137"/>
      <c r="H25" s="137"/>
    </row>
    <row r="26" spans="1:8" ht="15" customHeight="1">
      <c r="A26" s="2" t="s">
        <v>485</v>
      </c>
      <c r="B26" s="264" t="s">
        <v>486</v>
      </c>
      <c r="C26" s="145" t="s">
        <v>487</v>
      </c>
      <c r="D26" s="275" t="s">
        <v>488</v>
      </c>
      <c r="E26" s="149">
        <f>16209.1+1816-78.8-100</f>
        <v>17846.3</v>
      </c>
      <c r="F26" s="138"/>
      <c r="G26" s="137"/>
      <c r="H26" s="137"/>
    </row>
    <row r="27" spans="1:8" ht="15">
      <c r="A27" s="2" t="s">
        <v>489</v>
      </c>
      <c r="B27" s="264"/>
      <c r="C27" s="145" t="s">
        <v>490</v>
      </c>
      <c r="D27" s="275"/>
      <c r="E27" s="149">
        <f>831.8+75.97</f>
        <v>907.77</v>
      </c>
      <c r="F27" s="138"/>
      <c r="G27" s="137"/>
      <c r="H27" s="137"/>
    </row>
    <row r="28" spans="1:8" ht="15">
      <c r="A28" s="2" t="s">
        <v>491</v>
      </c>
      <c r="B28" s="264"/>
      <c r="C28" s="145" t="s">
        <v>492</v>
      </c>
      <c r="D28" s="275"/>
      <c r="E28" s="149">
        <f>2780.7+397.74</f>
        <v>3178.4399999999996</v>
      </c>
      <c r="F28" s="138"/>
      <c r="G28" s="137"/>
      <c r="H28" s="137"/>
    </row>
    <row r="29" spans="1:8" ht="15">
      <c r="A29" s="2" t="s">
        <v>493</v>
      </c>
      <c r="B29" s="264"/>
      <c r="C29" s="145" t="s">
        <v>494</v>
      </c>
      <c r="D29" s="275"/>
      <c r="E29" s="149">
        <f>5467.5+588.02+546.75</f>
        <v>6602.27</v>
      </c>
      <c r="F29" s="138"/>
      <c r="G29" s="137"/>
      <c r="H29" s="137"/>
    </row>
    <row r="30" spans="1:8" ht="30.75">
      <c r="A30" s="2" t="s">
        <v>495</v>
      </c>
      <c r="B30" s="156" t="s">
        <v>496</v>
      </c>
      <c r="C30" s="52" t="s">
        <v>497</v>
      </c>
      <c r="D30" s="275"/>
      <c r="E30" s="149">
        <f>15135.7-700-1324.4-6100.6</f>
        <v>7010.700000000001</v>
      </c>
      <c r="F30" s="138"/>
      <c r="G30" s="153"/>
      <c r="H30" s="137"/>
    </row>
    <row r="31" spans="1:8" ht="84" customHeight="1">
      <c r="A31" s="2" t="s">
        <v>498</v>
      </c>
      <c r="B31" s="157" t="s">
        <v>499</v>
      </c>
      <c r="C31" s="52" t="s">
        <v>202</v>
      </c>
      <c r="D31" s="3" t="s">
        <v>500</v>
      </c>
      <c r="E31" s="149">
        <f>11410+649.2-342</f>
        <v>11717.2</v>
      </c>
      <c r="F31" s="138"/>
      <c r="G31" s="137"/>
      <c r="H31" s="137"/>
    </row>
    <row r="32" spans="1:8" ht="49.5" customHeight="1">
      <c r="A32" s="158" t="s">
        <v>501</v>
      </c>
      <c r="B32" s="264" t="s">
        <v>496</v>
      </c>
      <c r="C32" s="159" t="s">
        <v>502</v>
      </c>
      <c r="D32" s="160"/>
      <c r="E32" s="149">
        <v>200</v>
      </c>
      <c r="F32" s="138"/>
      <c r="G32" s="137"/>
      <c r="H32" s="137"/>
    </row>
    <row r="33" spans="1:8" ht="48.75" customHeight="1">
      <c r="A33" s="158" t="s">
        <v>503</v>
      </c>
      <c r="B33" s="264"/>
      <c r="C33" s="159" t="s">
        <v>504</v>
      </c>
      <c r="D33" s="3" t="s">
        <v>505</v>
      </c>
      <c r="E33" s="149">
        <f>90-90</f>
        <v>0</v>
      </c>
      <c r="F33" s="138"/>
      <c r="G33" s="137"/>
      <c r="H33" s="137"/>
    </row>
    <row r="34" spans="1:8" ht="48.75" customHeight="1">
      <c r="A34" s="158" t="s">
        <v>506</v>
      </c>
      <c r="B34" s="264"/>
      <c r="C34" s="159" t="s">
        <v>507</v>
      </c>
      <c r="D34" s="160" t="s">
        <v>508</v>
      </c>
      <c r="E34" s="149">
        <v>30</v>
      </c>
      <c r="F34" s="138"/>
      <c r="G34" s="137"/>
      <c r="H34" s="137"/>
    </row>
    <row r="35" spans="1:8" ht="63" customHeight="1">
      <c r="A35" s="158" t="s">
        <v>509</v>
      </c>
      <c r="B35" s="264"/>
      <c r="C35" s="202" t="s">
        <v>581</v>
      </c>
      <c r="D35" s="160"/>
      <c r="E35" s="149">
        <f>2035.3+50000+15866.9-8610.8-9478.4-500-8771.9-1638-70-500-50</f>
        <v>38283.09999999999</v>
      </c>
      <c r="F35" s="138"/>
      <c r="G35" s="137"/>
      <c r="H35" s="137"/>
    </row>
    <row r="36" spans="1:8" ht="63" customHeight="1">
      <c r="A36" s="158" t="s">
        <v>510</v>
      </c>
      <c r="B36" s="264"/>
      <c r="C36" s="159" t="s">
        <v>511</v>
      </c>
      <c r="D36" s="160" t="s">
        <v>512</v>
      </c>
      <c r="E36" s="149">
        <v>200</v>
      </c>
      <c r="F36" s="138"/>
      <c r="G36" s="137"/>
      <c r="H36" s="137"/>
    </row>
    <row r="37" spans="1:8" ht="30" customHeight="1">
      <c r="A37" s="158" t="s">
        <v>582</v>
      </c>
      <c r="B37" s="264"/>
      <c r="C37" s="159" t="s">
        <v>583</v>
      </c>
      <c r="D37" s="160"/>
      <c r="E37" s="149">
        <v>200</v>
      </c>
      <c r="F37" s="138"/>
      <c r="G37" s="137"/>
      <c r="H37" s="137"/>
    </row>
    <row r="38" spans="1:8" ht="51" customHeight="1">
      <c r="A38" s="280" t="s">
        <v>204</v>
      </c>
      <c r="B38" s="280"/>
      <c r="C38" s="280"/>
      <c r="D38" s="161"/>
      <c r="E38" s="149">
        <f>E39+E41+E40</f>
        <v>11997.9606</v>
      </c>
      <c r="F38" s="138"/>
      <c r="G38" s="137"/>
      <c r="H38" s="137"/>
    </row>
    <row r="39" spans="1:8" ht="78">
      <c r="A39" s="2" t="s">
        <v>513</v>
      </c>
      <c r="B39" s="162" t="s">
        <v>514</v>
      </c>
      <c r="C39" s="52" t="s">
        <v>515</v>
      </c>
      <c r="D39" s="161"/>
      <c r="E39" s="149">
        <f>800+4500-331.7294</f>
        <v>4968.2706</v>
      </c>
      <c r="F39" s="138"/>
      <c r="G39" s="137"/>
      <c r="H39" s="137"/>
    </row>
    <row r="40" spans="1:8" ht="30.75" customHeight="1">
      <c r="A40" s="277" t="s">
        <v>516</v>
      </c>
      <c r="B40" s="283" t="s">
        <v>517</v>
      </c>
      <c r="C40" s="282" t="s">
        <v>518</v>
      </c>
      <c r="D40" s="161"/>
      <c r="E40" s="149">
        <f>2759.13+2962.46</f>
        <v>5721.59</v>
      </c>
      <c r="F40" s="138"/>
      <c r="G40" s="137"/>
      <c r="H40" s="137"/>
    </row>
    <row r="41" spans="1:8" ht="27" customHeight="1">
      <c r="A41" s="277"/>
      <c r="B41" s="283"/>
      <c r="C41" s="282"/>
      <c r="D41" s="161"/>
      <c r="E41" s="149">
        <f>1308.1</f>
        <v>1308.1</v>
      </c>
      <c r="F41" s="138"/>
      <c r="G41" s="137"/>
      <c r="H41" s="137"/>
    </row>
    <row r="42" spans="1:8" ht="15" customHeight="1">
      <c r="A42" s="280" t="s">
        <v>217</v>
      </c>
      <c r="B42" s="280"/>
      <c r="C42" s="280"/>
      <c r="D42" s="161"/>
      <c r="E42" s="149">
        <f>E43</f>
        <v>261</v>
      </c>
      <c r="F42" s="138"/>
      <c r="G42" s="137"/>
      <c r="H42" s="137"/>
    </row>
    <row r="43" spans="1:8" ht="48" customHeight="1">
      <c r="A43" s="163" t="s">
        <v>519</v>
      </c>
      <c r="B43" s="164" t="s">
        <v>520</v>
      </c>
      <c r="C43" s="52" t="s">
        <v>225</v>
      </c>
      <c r="D43" s="58"/>
      <c r="E43" s="165">
        <f>214+47</f>
        <v>261</v>
      </c>
      <c r="F43" s="138"/>
      <c r="G43" s="137"/>
      <c r="H43" s="137"/>
    </row>
    <row r="44" spans="1:8" ht="15" customHeight="1">
      <c r="A44" s="276" t="s">
        <v>227</v>
      </c>
      <c r="B44" s="276"/>
      <c r="C44" s="276"/>
      <c r="D44" s="152" t="s">
        <v>521</v>
      </c>
      <c r="E44" s="146">
        <f>E45</f>
        <v>200</v>
      </c>
      <c r="F44" s="138"/>
      <c r="G44" s="137"/>
      <c r="H44" s="137"/>
    </row>
    <row r="45" spans="1:8" ht="62.25">
      <c r="A45" s="2" t="s">
        <v>522</v>
      </c>
      <c r="B45" s="157" t="s">
        <v>523</v>
      </c>
      <c r="C45" s="166" t="s">
        <v>524</v>
      </c>
      <c r="D45" s="167" t="s">
        <v>488</v>
      </c>
      <c r="E45" s="168">
        <v>200</v>
      </c>
      <c r="F45" s="138"/>
      <c r="G45" s="137"/>
      <c r="H45" s="137"/>
    </row>
    <row r="46" spans="1:8" ht="15" customHeight="1">
      <c r="A46" s="281" t="s">
        <v>232</v>
      </c>
      <c r="B46" s="281"/>
      <c r="C46" s="281"/>
      <c r="D46" s="169" t="s">
        <v>525</v>
      </c>
      <c r="E46" s="146">
        <f>E47+E64+E75</f>
        <v>206104.06096000003</v>
      </c>
      <c r="F46" s="138"/>
      <c r="G46" s="137"/>
      <c r="H46" s="137"/>
    </row>
    <row r="47" spans="1:8" ht="15" customHeight="1">
      <c r="A47" s="269" t="s">
        <v>234</v>
      </c>
      <c r="B47" s="269"/>
      <c r="C47" s="269"/>
      <c r="D47" s="169" t="s">
        <v>526</v>
      </c>
      <c r="E47" s="146">
        <f>E48+E49+E50+E52</f>
        <v>77326.69151</v>
      </c>
      <c r="F47" s="138"/>
      <c r="G47" s="137"/>
      <c r="H47" s="137"/>
    </row>
    <row r="48" spans="1:8" ht="70.5" customHeight="1">
      <c r="A48" s="277" t="s">
        <v>527</v>
      </c>
      <c r="B48" s="45" t="s">
        <v>528</v>
      </c>
      <c r="C48" s="282" t="s">
        <v>529</v>
      </c>
      <c r="D48" s="145"/>
      <c r="E48" s="170">
        <f>42956.33202+27997.62151-10776.21647</f>
        <v>60177.73706</v>
      </c>
      <c r="F48" s="138"/>
      <c r="G48" s="137"/>
      <c r="H48" s="137"/>
    </row>
    <row r="49" spans="1:8" ht="46.5" customHeight="1">
      <c r="A49" s="277"/>
      <c r="B49" s="45" t="s">
        <v>530</v>
      </c>
      <c r="C49" s="282"/>
      <c r="D49" s="145"/>
      <c r="E49" s="170">
        <f>7000-5000</f>
        <v>2000</v>
      </c>
      <c r="F49" s="138"/>
      <c r="G49" s="137"/>
      <c r="H49" s="137"/>
    </row>
    <row r="50" spans="1:8" ht="36" customHeight="1">
      <c r="A50" s="276" t="s">
        <v>162</v>
      </c>
      <c r="B50" s="276"/>
      <c r="C50" s="276"/>
      <c r="D50" s="145"/>
      <c r="E50" s="170">
        <f>E51</f>
        <v>130</v>
      </c>
      <c r="F50" s="138"/>
      <c r="G50" s="137"/>
      <c r="H50" s="137"/>
    </row>
    <row r="51" spans="1:8" ht="30.75">
      <c r="A51" s="2" t="s">
        <v>531</v>
      </c>
      <c r="B51" s="2" t="s">
        <v>532</v>
      </c>
      <c r="C51" s="171" t="s">
        <v>262</v>
      </c>
      <c r="D51" s="145"/>
      <c r="E51" s="172">
        <f>150-20</f>
        <v>130</v>
      </c>
      <c r="F51" s="138"/>
      <c r="G51" s="137"/>
      <c r="H51" s="137"/>
    </row>
    <row r="52" spans="1:8" ht="55.5" customHeight="1">
      <c r="A52" s="271" t="s">
        <v>204</v>
      </c>
      <c r="B52" s="271"/>
      <c r="C52" s="271"/>
      <c r="D52" s="145"/>
      <c r="E52" s="172">
        <f>SUM(E53:E63)</f>
        <v>15018.954450000001</v>
      </c>
      <c r="F52" s="138"/>
      <c r="G52" s="137"/>
      <c r="H52" s="137"/>
    </row>
    <row r="53" spans="1:8" ht="30.75">
      <c r="A53" s="2" t="s">
        <v>533</v>
      </c>
      <c r="B53" s="45" t="s">
        <v>534</v>
      </c>
      <c r="C53" s="145" t="s">
        <v>535</v>
      </c>
      <c r="D53" s="145"/>
      <c r="E53" s="170">
        <v>4500</v>
      </c>
      <c r="F53" s="138"/>
      <c r="G53" s="137"/>
      <c r="H53" s="137"/>
    </row>
    <row r="54" spans="1:8" ht="30.75">
      <c r="A54" s="2" t="s">
        <v>536</v>
      </c>
      <c r="B54" s="45" t="s">
        <v>537</v>
      </c>
      <c r="C54" s="145" t="s">
        <v>538</v>
      </c>
      <c r="D54" s="145"/>
      <c r="E54" s="170">
        <f>1800+750</f>
        <v>2550</v>
      </c>
      <c r="F54" s="138"/>
      <c r="G54" s="137"/>
      <c r="H54" s="137"/>
    </row>
    <row r="55" spans="1:8" ht="51" customHeight="1">
      <c r="A55" s="2" t="s">
        <v>539</v>
      </c>
      <c r="B55" s="173" t="s">
        <v>534</v>
      </c>
      <c r="C55" s="145" t="s">
        <v>540</v>
      </c>
      <c r="D55" s="174" t="s">
        <v>541</v>
      </c>
      <c r="E55" s="175">
        <v>700</v>
      </c>
      <c r="F55" s="138"/>
      <c r="G55" s="137"/>
      <c r="H55" s="137"/>
    </row>
    <row r="56" spans="1:8" ht="45" customHeight="1">
      <c r="A56" s="277" t="s">
        <v>542</v>
      </c>
      <c r="B56" s="274" t="s">
        <v>543</v>
      </c>
      <c r="C56" s="278" t="s">
        <v>544</v>
      </c>
      <c r="D56" s="176"/>
      <c r="E56" s="175">
        <v>295.76</v>
      </c>
      <c r="F56" s="138"/>
      <c r="G56" s="137"/>
      <c r="H56" s="137"/>
    </row>
    <row r="57" spans="1:8" ht="37.5" customHeight="1">
      <c r="A57" s="277"/>
      <c r="B57" s="274"/>
      <c r="C57" s="278"/>
      <c r="D57" s="176"/>
      <c r="E57" s="175">
        <v>64.48</v>
      </c>
      <c r="F57" s="138"/>
      <c r="G57" s="137"/>
      <c r="H57" s="137"/>
    </row>
    <row r="58" spans="1:8" ht="37.5" customHeight="1">
      <c r="A58" s="2" t="s">
        <v>545</v>
      </c>
      <c r="B58" s="279" t="s">
        <v>546</v>
      </c>
      <c r="C58" s="159" t="s">
        <v>547</v>
      </c>
      <c r="D58" s="176"/>
      <c r="E58" s="175">
        <f>2000+135</f>
        <v>2135</v>
      </c>
      <c r="F58" s="138"/>
      <c r="G58" s="137"/>
      <c r="H58" s="137"/>
    </row>
    <row r="59" spans="1:8" ht="98.25" customHeight="1">
      <c r="A59" s="2" t="s">
        <v>548</v>
      </c>
      <c r="B59" s="279"/>
      <c r="C59" s="159" t="s">
        <v>594</v>
      </c>
      <c r="D59" s="176" t="s">
        <v>549</v>
      </c>
      <c r="E59" s="175">
        <v>42.08385</v>
      </c>
      <c r="F59" s="138"/>
      <c r="G59" s="137"/>
      <c r="H59" s="137"/>
    </row>
    <row r="60" spans="1:8" ht="41.25" customHeight="1">
      <c r="A60" s="2" t="s">
        <v>6</v>
      </c>
      <c r="B60" s="279"/>
      <c r="C60" s="220" t="s">
        <v>7</v>
      </c>
      <c r="D60" s="176" t="s">
        <v>5</v>
      </c>
      <c r="E60" s="175">
        <v>776.9306</v>
      </c>
      <c r="F60" s="138"/>
      <c r="G60" s="137"/>
      <c r="H60" s="137"/>
    </row>
    <row r="61" spans="1:8" ht="33" customHeight="1">
      <c r="A61" s="2" t="s">
        <v>595</v>
      </c>
      <c r="B61" s="279"/>
      <c r="C61" s="159" t="s">
        <v>598</v>
      </c>
      <c r="D61" s="176" t="s">
        <v>599</v>
      </c>
      <c r="E61" s="175">
        <v>2282.1</v>
      </c>
      <c r="F61" s="138"/>
      <c r="G61" s="137"/>
      <c r="H61" s="137"/>
    </row>
    <row r="62" spans="1:8" ht="31.5" customHeight="1">
      <c r="A62" s="2" t="s">
        <v>596</v>
      </c>
      <c r="B62" s="279"/>
      <c r="C62" s="159" t="s">
        <v>598</v>
      </c>
      <c r="D62" s="176" t="s">
        <v>600</v>
      </c>
      <c r="E62" s="175">
        <v>1043.6</v>
      </c>
      <c r="F62" s="138"/>
      <c r="G62" s="137"/>
      <c r="H62" s="137"/>
    </row>
    <row r="63" spans="1:8" ht="31.5" customHeight="1">
      <c r="A63" s="2" t="s">
        <v>597</v>
      </c>
      <c r="B63" s="279"/>
      <c r="C63" s="159" t="s">
        <v>598</v>
      </c>
      <c r="D63" s="176" t="s">
        <v>601</v>
      </c>
      <c r="E63" s="175">
        <v>629</v>
      </c>
      <c r="F63" s="138"/>
      <c r="G63" s="137"/>
      <c r="H63" s="137"/>
    </row>
    <row r="64" spans="1:8" ht="15" customHeight="1">
      <c r="A64" s="269" t="s">
        <v>264</v>
      </c>
      <c r="B64" s="269"/>
      <c r="C64" s="269"/>
      <c r="D64" s="169" t="s">
        <v>550</v>
      </c>
      <c r="E64" s="146">
        <f>SUM(E65:E74)</f>
        <v>48159.414000000004</v>
      </c>
      <c r="F64" s="138"/>
      <c r="G64" s="153"/>
      <c r="H64" s="137"/>
    </row>
    <row r="65" spans="1:8" ht="49.5" customHeight="1">
      <c r="A65" s="2" t="s">
        <v>551</v>
      </c>
      <c r="B65" s="274" t="s">
        <v>552</v>
      </c>
      <c r="C65" s="58" t="s">
        <v>553</v>
      </c>
      <c r="D65" s="4" t="s">
        <v>554</v>
      </c>
      <c r="E65" s="149">
        <v>1387.6</v>
      </c>
      <c r="F65" s="138"/>
      <c r="G65" s="137"/>
      <c r="H65" s="137"/>
    </row>
    <row r="66" spans="1:8" ht="15">
      <c r="A66" s="2" t="s">
        <v>555</v>
      </c>
      <c r="B66" s="274"/>
      <c r="C66" s="58" t="s">
        <v>556</v>
      </c>
      <c r="D66" s="177" t="s">
        <v>557</v>
      </c>
      <c r="E66" s="149">
        <f>150-90</f>
        <v>60</v>
      </c>
      <c r="F66" s="151"/>
      <c r="G66" s="178"/>
      <c r="H66" s="137"/>
    </row>
    <row r="67" spans="1:8" ht="15">
      <c r="A67" s="2" t="s">
        <v>558</v>
      </c>
      <c r="B67" s="274"/>
      <c r="C67" s="58" t="s">
        <v>559</v>
      </c>
      <c r="D67" s="177" t="s">
        <v>557</v>
      </c>
      <c r="E67" s="149">
        <f>1836.5-580</f>
        <v>1256.5</v>
      </c>
      <c r="F67" s="151"/>
      <c r="G67" s="178"/>
      <c r="H67" s="137"/>
    </row>
    <row r="68" spans="1:8" ht="15">
      <c r="A68" s="2" t="s">
        <v>560</v>
      </c>
      <c r="B68" s="274"/>
      <c r="C68" s="58" t="s">
        <v>561</v>
      </c>
      <c r="D68" s="177" t="s">
        <v>562</v>
      </c>
      <c r="E68" s="149">
        <f>335.714-80</f>
        <v>255.714</v>
      </c>
      <c r="F68" s="151"/>
      <c r="G68" s="178"/>
      <c r="H68" s="137"/>
    </row>
    <row r="69" spans="1:8" ht="30.75">
      <c r="A69" s="2" t="s">
        <v>563</v>
      </c>
      <c r="B69" s="274"/>
      <c r="C69" s="145" t="s">
        <v>564</v>
      </c>
      <c r="D69" s="179"/>
      <c r="E69" s="149">
        <f>5478.2+1220.9+1676.2</f>
        <v>8375.300000000001</v>
      </c>
      <c r="F69" s="138"/>
      <c r="G69" s="137"/>
      <c r="H69" s="137"/>
    </row>
    <row r="70" spans="1:8" ht="15">
      <c r="A70" s="2" t="s">
        <v>565</v>
      </c>
      <c r="B70" s="274"/>
      <c r="C70" s="145" t="s">
        <v>566</v>
      </c>
      <c r="D70" s="179"/>
      <c r="E70" s="149">
        <f>600+200</f>
        <v>800</v>
      </c>
      <c r="F70" s="138"/>
      <c r="G70" s="137"/>
      <c r="H70" s="137"/>
    </row>
    <row r="71" spans="1:8" ht="124.5">
      <c r="A71" s="2" t="s">
        <v>577</v>
      </c>
      <c r="B71" s="14" t="s">
        <v>578</v>
      </c>
      <c r="C71" s="15" t="s">
        <v>575</v>
      </c>
      <c r="D71" s="179"/>
      <c r="E71" s="149">
        <f>10000+13500</f>
        <v>23500</v>
      </c>
      <c r="F71" s="138"/>
      <c r="G71" s="137"/>
      <c r="H71" s="137"/>
    </row>
    <row r="72" spans="1:8" ht="30.75">
      <c r="A72" s="215" t="s">
        <v>579</v>
      </c>
      <c r="B72" s="14" t="s">
        <v>552</v>
      </c>
      <c r="C72" s="216" t="s">
        <v>580</v>
      </c>
      <c r="D72" s="179"/>
      <c r="E72" s="149">
        <v>1000</v>
      </c>
      <c r="F72" s="138"/>
      <c r="G72" s="137"/>
      <c r="H72" s="137"/>
    </row>
    <row r="73" spans="1:8" ht="30.75">
      <c r="A73" s="215" t="s">
        <v>584</v>
      </c>
      <c r="B73" s="14" t="s">
        <v>552</v>
      </c>
      <c r="C73" s="216" t="s">
        <v>585</v>
      </c>
      <c r="D73" s="179"/>
      <c r="E73" s="149">
        <v>1424.3</v>
      </c>
      <c r="F73" s="138"/>
      <c r="G73" s="137"/>
      <c r="H73" s="137"/>
    </row>
    <row r="74" spans="1:8" ht="140.25">
      <c r="A74" s="215" t="s">
        <v>733</v>
      </c>
      <c r="B74" s="14" t="s">
        <v>734</v>
      </c>
      <c r="C74" s="223" t="s">
        <v>737</v>
      </c>
      <c r="D74" s="179"/>
      <c r="E74" s="149">
        <v>10100</v>
      </c>
      <c r="F74" s="138"/>
      <c r="G74" s="137"/>
      <c r="H74" s="137"/>
    </row>
    <row r="75" spans="1:8" ht="15" customHeight="1">
      <c r="A75" s="273" t="s">
        <v>269</v>
      </c>
      <c r="B75" s="273"/>
      <c r="C75" s="273"/>
      <c r="D75" s="152" t="s">
        <v>567</v>
      </c>
      <c r="E75" s="154">
        <f>E93+E98+E113+E115</f>
        <v>80617.95545000001</v>
      </c>
      <c r="F75" s="138"/>
      <c r="G75" s="137"/>
      <c r="H75" s="137"/>
    </row>
    <row r="76" spans="1:8" ht="15" customHeight="1" hidden="1">
      <c r="A76" s="269" t="s">
        <v>424</v>
      </c>
      <c r="B76" s="269"/>
      <c r="C76" s="269"/>
      <c r="D76" s="269"/>
      <c r="E76" s="180">
        <f>SUM(E77:E79)</f>
        <v>10739.3</v>
      </c>
      <c r="F76" s="138"/>
      <c r="G76" s="137"/>
      <c r="H76" s="137"/>
    </row>
    <row r="77" spans="1:8" ht="15" customHeight="1" hidden="1">
      <c r="A77" s="2" t="s">
        <v>568</v>
      </c>
      <c r="B77" s="2"/>
      <c r="C77" s="145" t="s">
        <v>289</v>
      </c>
      <c r="D77" s="275" t="s">
        <v>488</v>
      </c>
      <c r="E77" s="149">
        <v>3739.3</v>
      </c>
      <c r="F77" s="138"/>
      <c r="G77" s="137"/>
      <c r="H77" s="137"/>
    </row>
    <row r="78" spans="1:8" ht="30.75" hidden="1">
      <c r="A78" s="2" t="s">
        <v>569</v>
      </c>
      <c r="B78" s="2"/>
      <c r="C78" s="145" t="s">
        <v>570</v>
      </c>
      <c r="D78" s="275"/>
      <c r="E78" s="149">
        <v>4000</v>
      </c>
      <c r="F78" s="138"/>
      <c r="G78" s="137"/>
      <c r="H78" s="137"/>
    </row>
    <row r="79" spans="1:8" ht="30.75" hidden="1">
      <c r="A79" s="2" t="s">
        <v>571</v>
      </c>
      <c r="B79" s="2"/>
      <c r="C79" s="58" t="s">
        <v>572</v>
      </c>
      <c r="D79" s="58" t="s">
        <v>573</v>
      </c>
      <c r="E79" s="149">
        <v>3000</v>
      </c>
      <c r="F79" s="138"/>
      <c r="G79" s="137"/>
      <c r="H79" s="137"/>
    </row>
    <row r="80" spans="1:8" ht="108.75" hidden="1">
      <c r="A80" s="2" t="s">
        <v>574</v>
      </c>
      <c r="B80" s="2"/>
      <c r="C80" s="18" t="s">
        <v>426</v>
      </c>
      <c r="D80" s="58"/>
      <c r="E80" s="149"/>
      <c r="F80" s="138"/>
      <c r="G80" s="137"/>
      <c r="H80" s="137"/>
    </row>
    <row r="81" spans="1:8" ht="15" customHeight="1" hidden="1">
      <c r="A81" s="269" t="s">
        <v>8</v>
      </c>
      <c r="B81" s="269"/>
      <c r="C81" s="269"/>
      <c r="D81" s="269"/>
      <c r="E81" s="180">
        <f>SUM(E82:E82)</f>
        <v>3616.864</v>
      </c>
      <c r="F81" s="138"/>
      <c r="G81" s="137"/>
      <c r="H81" s="137"/>
    </row>
    <row r="82" spans="1:8" ht="62.25" hidden="1">
      <c r="A82" s="2" t="s">
        <v>9</v>
      </c>
      <c r="B82" s="2"/>
      <c r="C82" s="145" t="s">
        <v>10</v>
      </c>
      <c r="D82" s="145" t="s">
        <v>488</v>
      </c>
      <c r="E82" s="149">
        <v>3616.864</v>
      </c>
      <c r="F82" s="138"/>
      <c r="G82" s="137"/>
      <c r="H82" s="137"/>
    </row>
    <row r="83" spans="1:8" ht="15" customHeight="1" hidden="1">
      <c r="A83" s="269" t="s">
        <v>11</v>
      </c>
      <c r="B83" s="269"/>
      <c r="C83" s="269"/>
      <c r="D83" s="269"/>
      <c r="E83" s="180">
        <f>SUM(E84:E84)</f>
        <v>5658.2</v>
      </c>
      <c r="F83" s="138"/>
      <c r="G83" s="137"/>
      <c r="H83" s="137"/>
    </row>
    <row r="84" spans="1:8" ht="78" hidden="1">
      <c r="A84" s="2" t="s">
        <v>12</v>
      </c>
      <c r="B84" s="2"/>
      <c r="C84" s="52" t="s">
        <v>13</v>
      </c>
      <c r="D84" s="181" t="s">
        <v>488</v>
      </c>
      <c r="E84" s="149">
        <f>5423.2+235</f>
        <v>5658.2</v>
      </c>
      <c r="F84" s="138"/>
      <c r="G84" s="137"/>
      <c r="H84" s="137"/>
    </row>
    <row r="85" spans="1:8" ht="15" customHeight="1" hidden="1">
      <c r="A85" s="269" t="s">
        <v>14</v>
      </c>
      <c r="B85" s="269"/>
      <c r="C85" s="269"/>
      <c r="D85" s="269"/>
      <c r="E85" s="180">
        <f>SUM(E86:E87)</f>
        <v>9435.4</v>
      </c>
      <c r="F85" s="138"/>
      <c r="G85" s="137"/>
      <c r="H85" s="137"/>
    </row>
    <row r="86" spans="1:8" ht="30.75" hidden="1">
      <c r="A86" s="2" t="s">
        <v>15</v>
      </c>
      <c r="B86" s="2"/>
      <c r="C86" s="145" t="s">
        <v>16</v>
      </c>
      <c r="D86" s="145" t="s">
        <v>17</v>
      </c>
      <c r="E86" s="149">
        <v>1000</v>
      </c>
      <c r="F86" s="138"/>
      <c r="G86" s="137"/>
      <c r="H86" s="137"/>
    </row>
    <row r="87" spans="1:8" ht="62.25" hidden="1">
      <c r="A87" s="2" t="s">
        <v>18</v>
      </c>
      <c r="B87" s="2"/>
      <c r="C87" s="41" t="s">
        <v>302</v>
      </c>
      <c r="D87" s="182"/>
      <c r="E87" s="149">
        <v>8435.4</v>
      </c>
      <c r="F87" s="138"/>
      <c r="G87" s="137"/>
      <c r="H87" s="137"/>
    </row>
    <row r="88" spans="1:8" ht="15" customHeight="1" hidden="1">
      <c r="A88" s="269" t="s">
        <v>19</v>
      </c>
      <c r="B88" s="269"/>
      <c r="C88" s="269"/>
      <c r="D88" s="269"/>
      <c r="E88" s="154">
        <f>SUM(E89:E90)</f>
        <v>15693.4</v>
      </c>
      <c r="F88" s="138"/>
      <c r="G88" s="137"/>
      <c r="H88" s="137"/>
    </row>
    <row r="89" spans="1:8" ht="48" customHeight="1" hidden="1">
      <c r="A89" s="2" t="s">
        <v>20</v>
      </c>
      <c r="B89" s="2"/>
      <c r="C89" s="52" t="s">
        <v>13</v>
      </c>
      <c r="D89" s="183" t="s">
        <v>488</v>
      </c>
      <c r="E89" s="149">
        <f>14235+458.4+600</f>
        <v>15293.4</v>
      </c>
      <c r="F89" s="138"/>
      <c r="G89" s="137"/>
      <c r="H89" s="137"/>
    </row>
    <row r="90" spans="1:8" ht="46.5" hidden="1">
      <c r="A90" s="2" t="s">
        <v>21</v>
      </c>
      <c r="B90" s="2"/>
      <c r="C90" s="145" t="s">
        <v>22</v>
      </c>
      <c r="D90" s="145"/>
      <c r="E90" s="184">
        <v>400</v>
      </c>
      <c r="F90" s="138"/>
      <c r="G90" s="137"/>
      <c r="H90" s="137"/>
    </row>
    <row r="91" spans="1:8" ht="30.75" hidden="1">
      <c r="A91" s="2" t="s">
        <v>23</v>
      </c>
      <c r="B91" s="2"/>
      <c r="C91" s="58" t="s">
        <v>24</v>
      </c>
      <c r="D91" s="185"/>
      <c r="E91" s="186"/>
      <c r="F91" s="138"/>
      <c r="G91" s="137"/>
      <c r="H91" s="137"/>
    </row>
    <row r="92" spans="1:8" ht="48" customHeight="1">
      <c r="A92" s="271" t="s">
        <v>204</v>
      </c>
      <c r="B92" s="271"/>
      <c r="C92" s="271"/>
      <c r="D92" s="187"/>
      <c r="E92" s="188"/>
      <c r="F92" s="138"/>
      <c r="G92" s="137"/>
      <c r="H92" s="137"/>
    </row>
    <row r="93" spans="1:8" ht="15" customHeight="1">
      <c r="A93" s="272" t="s">
        <v>422</v>
      </c>
      <c r="B93" s="272"/>
      <c r="C93" s="272"/>
      <c r="D93" s="187"/>
      <c r="E93" s="188">
        <f>SUM(E94:E97)</f>
        <v>29281.7958</v>
      </c>
      <c r="F93" s="138"/>
      <c r="G93" s="137"/>
      <c r="H93" s="137"/>
    </row>
    <row r="94" spans="1:8" ht="78">
      <c r="A94" s="2" t="s">
        <v>25</v>
      </c>
      <c r="B94" s="2" t="s">
        <v>26</v>
      </c>
      <c r="C94" s="52" t="s">
        <v>13</v>
      </c>
      <c r="D94" s="183"/>
      <c r="E94" s="188">
        <f>15293.4+1324.4+830+425.0838+89.2+500</f>
        <v>18462.0838</v>
      </c>
      <c r="F94" s="138"/>
      <c r="G94" s="137"/>
      <c r="H94" s="137"/>
    </row>
    <row r="95" spans="1:8" ht="78">
      <c r="A95" s="2" t="s">
        <v>27</v>
      </c>
      <c r="B95" s="2" t="s">
        <v>28</v>
      </c>
      <c r="C95" s="52" t="s">
        <v>13</v>
      </c>
      <c r="D95" s="187"/>
      <c r="E95" s="188">
        <v>5658.2</v>
      </c>
      <c r="F95" s="138"/>
      <c r="G95" s="137"/>
      <c r="H95" s="137"/>
    </row>
    <row r="96" spans="1:8" ht="15">
      <c r="A96" s="2" t="s">
        <v>29</v>
      </c>
      <c r="B96" s="2" t="s">
        <v>30</v>
      </c>
      <c r="C96" s="145" t="s">
        <v>31</v>
      </c>
      <c r="D96" s="187"/>
      <c r="E96" s="188">
        <f>4236.6+409.732+415.18</f>
        <v>5061.512000000001</v>
      </c>
      <c r="F96" s="138"/>
      <c r="G96" s="137"/>
      <c r="H96" s="137"/>
    </row>
    <row r="97" spans="1:8" ht="30.75">
      <c r="A97" s="2" t="s">
        <v>32</v>
      </c>
      <c r="B97" s="2" t="s">
        <v>33</v>
      </c>
      <c r="C97" s="52" t="s">
        <v>285</v>
      </c>
      <c r="D97" s="187"/>
      <c r="E97" s="188">
        <v>100</v>
      </c>
      <c r="F97" s="138"/>
      <c r="G97" s="137"/>
      <c r="H97" s="137"/>
    </row>
    <row r="98" spans="1:6" s="191" customFormat="1" ht="24.75" customHeight="1">
      <c r="A98" s="273" t="s">
        <v>424</v>
      </c>
      <c r="B98" s="273"/>
      <c r="C98" s="273"/>
      <c r="D98" s="273"/>
      <c r="E98" s="189">
        <f>SUM(E99:E112)</f>
        <v>21246.07965</v>
      </c>
      <c r="F98" s="190"/>
    </row>
    <row r="99" spans="1:8" ht="37.5" customHeight="1">
      <c r="A99" s="2" t="s">
        <v>34</v>
      </c>
      <c r="B99" s="2" t="s">
        <v>35</v>
      </c>
      <c r="C99" s="145" t="s">
        <v>289</v>
      </c>
      <c r="D99" s="266" t="s">
        <v>488</v>
      </c>
      <c r="E99" s="188">
        <f>4513-180.5</f>
        <v>4332.5</v>
      </c>
      <c r="F99" s="138"/>
      <c r="G99" s="137"/>
      <c r="H99" s="137"/>
    </row>
    <row r="100" spans="1:8" ht="30.75">
      <c r="A100" s="2" t="s">
        <v>36</v>
      </c>
      <c r="B100" s="2" t="s">
        <v>37</v>
      </c>
      <c r="C100" s="145" t="s">
        <v>570</v>
      </c>
      <c r="D100" s="266"/>
      <c r="E100" s="188">
        <f>4000+180.5+15.7+2000</f>
        <v>6196.2</v>
      </c>
      <c r="F100" s="138"/>
      <c r="G100" s="137"/>
      <c r="H100" s="137"/>
    </row>
    <row r="101" spans="1:8" ht="69" customHeight="1">
      <c r="A101" s="2" t="s">
        <v>38</v>
      </c>
      <c r="B101" s="4" t="s">
        <v>39</v>
      </c>
      <c r="C101" s="18" t="s">
        <v>294</v>
      </c>
      <c r="D101" s="192"/>
      <c r="E101" s="165">
        <f>6513.83+1420.19</f>
        <v>7934.02</v>
      </c>
      <c r="F101" s="138"/>
      <c r="G101" s="137"/>
      <c r="H101" s="137"/>
    </row>
    <row r="102" spans="1:8" ht="48" customHeight="1">
      <c r="A102" s="158" t="s">
        <v>40</v>
      </c>
      <c r="B102" s="267" t="s">
        <v>41</v>
      </c>
      <c r="C102" s="193" t="s">
        <v>42</v>
      </c>
      <c r="D102" s="194" t="s">
        <v>43</v>
      </c>
      <c r="E102" s="195">
        <v>195.6</v>
      </c>
      <c r="F102" s="138"/>
      <c r="G102" s="137"/>
      <c r="H102" s="137"/>
    </row>
    <row r="103" spans="1:8" ht="26.25" customHeight="1">
      <c r="A103" s="158" t="s">
        <v>44</v>
      </c>
      <c r="B103" s="267"/>
      <c r="C103" s="196" t="s">
        <v>45</v>
      </c>
      <c r="D103" s="3" t="s">
        <v>46</v>
      </c>
      <c r="E103" s="197">
        <f>470.4-70.4</f>
        <v>400</v>
      </c>
      <c r="F103" s="138"/>
      <c r="G103" s="137"/>
      <c r="H103" s="137"/>
    </row>
    <row r="104" spans="1:8" ht="33" customHeight="1">
      <c r="A104" s="158" t="s">
        <v>47</v>
      </c>
      <c r="B104" s="267"/>
      <c r="C104" s="145" t="s">
        <v>48</v>
      </c>
      <c r="D104" s="198"/>
      <c r="E104" s="197">
        <v>110.2</v>
      </c>
      <c r="F104" s="138"/>
      <c r="G104" s="137"/>
      <c r="H104" s="137"/>
    </row>
    <row r="105" spans="1:8" ht="30.75" customHeight="1">
      <c r="A105" s="158" t="s">
        <v>49</v>
      </c>
      <c r="B105" s="267"/>
      <c r="C105" s="199" t="s">
        <v>50</v>
      </c>
      <c r="D105" s="192" t="s">
        <v>51</v>
      </c>
      <c r="E105" s="175">
        <v>306.4</v>
      </c>
      <c r="F105" s="200"/>
      <c r="G105" s="137"/>
      <c r="H105" s="137"/>
    </row>
    <row r="106" spans="1:8" ht="28.5" customHeight="1">
      <c r="A106" s="158" t="s">
        <v>52</v>
      </c>
      <c r="B106" s="267"/>
      <c r="C106" s="145" t="s">
        <v>45</v>
      </c>
      <c r="D106" s="3" t="s">
        <v>53</v>
      </c>
      <c r="E106" s="175">
        <v>193.6</v>
      </c>
      <c r="F106" s="200"/>
      <c r="G106" s="137"/>
      <c r="H106" s="137"/>
    </row>
    <row r="107" spans="1:8" ht="27.75" customHeight="1">
      <c r="A107" s="158" t="s">
        <v>54</v>
      </c>
      <c r="B107" s="267"/>
      <c r="C107" s="145" t="s">
        <v>55</v>
      </c>
      <c r="D107" s="3"/>
      <c r="E107" s="175">
        <f>48.1+45</f>
        <v>93.1</v>
      </c>
      <c r="F107" s="200"/>
      <c r="G107" s="137"/>
      <c r="H107" s="137"/>
    </row>
    <row r="108" spans="1:8" ht="45" customHeight="1">
      <c r="A108" s="158" t="s">
        <v>56</v>
      </c>
      <c r="B108" s="267"/>
      <c r="C108" s="145" t="s">
        <v>57</v>
      </c>
      <c r="D108" s="198"/>
      <c r="E108" s="175">
        <v>450.13025</v>
      </c>
      <c r="F108" s="200"/>
      <c r="G108" s="137"/>
      <c r="H108" s="137"/>
    </row>
    <row r="109" spans="1:8" ht="34.5" customHeight="1">
      <c r="A109" s="158" t="s">
        <v>58</v>
      </c>
      <c r="B109" s="267"/>
      <c r="C109" s="183" t="s">
        <v>1</v>
      </c>
      <c r="D109" s="181" t="s">
        <v>2</v>
      </c>
      <c r="E109" s="217">
        <v>331.7294</v>
      </c>
      <c r="F109" s="200"/>
      <c r="G109" s="137"/>
      <c r="H109" s="137"/>
    </row>
    <row r="110" spans="1:8" ht="34.5" customHeight="1">
      <c r="A110" s="158" t="s">
        <v>0</v>
      </c>
      <c r="B110" s="268"/>
      <c r="C110" s="218" t="s">
        <v>4</v>
      </c>
      <c r="D110" s="219" t="s">
        <v>3</v>
      </c>
      <c r="E110" s="219">
        <v>110.8</v>
      </c>
      <c r="F110" s="200"/>
      <c r="G110" s="137"/>
      <c r="H110" s="137"/>
    </row>
    <row r="111" spans="1:8" ht="34.5" customHeight="1">
      <c r="A111" s="158" t="s">
        <v>586</v>
      </c>
      <c r="B111" s="268"/>
      <c r="C111" s="218" t="s">
        <v>605</v>
      </c>
      <c r="D111" s="222" t="s">
        <v>587</v>
      </c>
      <c r="E111" s="219">
        <v>403.4</v>
      </c>
      <c r="F111" s="200"/>
      <c r="G111" s="137"/>
      <c r="H111" s="137"/>
    </row>
    <row r="112" spans="1:8" ht="30.75" customHeight="1">
      <c r="A112" s="158" t="s">
        <v>591</v>
      </c>
      <c r="B112" s="268"/>
      <c r="C112" s="218" t="s">
        <v>592</v>
      </c>
      <c r="D112" s="222" t="s">
        <v>593</v>
      </c>
      <c r="E112" s="219">
        <v>188.4</v>
      </c>
      <c r="F112" s="200"/>
      <c r="G112" s="137"/>
      <c r="H112" s="137"/>
    </row>
    <row r="113" spans="1:8" ht="15" customHeight="1">
      <c r="A113" s="269" t="s">
        <v>430</v>
      </c>
      <c r="B113" s="269"/>
      <c r="C113" s="270"/>
      <c r="D113" s="270"/>
      <c r="E113" s="197">
        <f>E114</f>
        <v>8265.2</v>
      </c>
      <c r="F113" s="138"/>
      <c r="G113" s="137"/>
      <c r="H113" s="137"/>
    </row>
    <row r="114" spans="1:8" ht="62.25">
      <c r="A114" s="2" t="s">
        <v>58</v>
      </c>
      <c r="B114" s="2" t="s">
        <v>59</v>
      </c>
      <c r="C114" s="41" t="s">
        <v>302</v>
      </c>
      <c r="D114" s="182"/>
      <c r="E114" s="188">
        <f>10972.2-2907+200</f>
        <v>8265.2</v>
      </c>
      <c r="F114" s="138"/>
      <c r="G114" s="137"/>
      <c r="H114" s="137"/>
    </row>
    <row r="115" spans="1:8" ht="15" customHeight="1">
      <c r="A115" s="269" t="s">
        <v>60</v>
      </c>
      <c r="B115" s="269"/>
      <c r="C115" s="269"/>
      <c r="D115" s="269"/>
      <c r="E115" s="188">
        <f>SUM(E116:E125)</f>
        <v>21824.879999999997</v>
      </c>
      <c r="F115" s="138"/>
      <c r="G115" s="137"/>
      <c r="H115" s="137"/>
    </row>
    <row r="116" spans="1:8" ht="46.5">
      <c r="A116" s="2" t="s">
        <v>61</v>
      </c>
      <c r="B116" s="2" t="s">
        <v>62</v>
      </c>
      <c r="C116" s="145" t="s">
        <v>22</v>
      </c>
      <c r="D116" s="145"/>
      <c r="E116" s="188">
        <f>2400-2000</f>
        <v>400</v>
      </c>
      <c r="F116" s="138"/>
      <c r="G116" s="137"/>
      <c r="H116" s="137"/>
    </row>
    <row r="117" spans="1:8" ht="45" customHeight="1">
      <c r="A117" s="201" t="s">
        <v>63</v>
      </c>
      <c r="B117" s="264" t="s">
        <v>62</v>
      </c>
      <c r="C117" s="145" t="s">
        <v>309</v>
      </c>
      <c r="D117" s="145"/>
      <c r="E117" s="188">
        <f>5673.79+1237-6910.8</f>
        <v>-0.010000000000218279</v>
      </c>
      <c r="F117" s="138"/>
      <c r="G117" s="137"/>
      <c r="H117" s="137"/>
    </row>
    <row r="118" spans="1:8" ht="29.25" customHeight="1">
      <c r="A118" s="2" t="s">
        <v>64</v>
      </c>
      <c r="B118" s="264"/>
      <c r="C118" s="182" t="s">
        <v>65</v>
      </c>
      <c r="D118" s="145"/>
      <c r="E118" s="188">
        <f>750-153-200</f>
        <v>397</v>
      </c>
      <c r="F118" s="138"/>
      <c r="G118" s="137"/>
      <c r="H118" s="137"/>
    </row>
    <row r="119" spans="1:8" ht="55.5" customHeight="1">
      <c r="A119" s="2" t="s">
        <v>66</v>
      </c>
      <c r="B119" s="264"/>
      <c r="C119" s="145" t="s">
        <v>67</v>
      </c>
      <c r="D119" s="145"/>
      <c r="E119" s="188">
        <f>290+80</f>
        <v>370</v>
      </c>
      <c r="F119" s="138"/>
      <c r="G119" s="137"/>
      <c r="H119" s="137"/>
    </row>
    <row r="120" spans="1:8" ht="55.5" customHeight="1">
      <c r="A120" s="2" t="s">
        <v>68</v>
      </c>
      <c r="B120" s="264"/>
      <c r="C120" s="145" t="s">
        <v>69</v>
      </c>
      <c r="D120" s="145"/>
      <c r="E120" s="188">
        <v>550</v>
      </c>
      <c r="F120" s="138"/>
      <c r="G120" s="137"/>
      <c r="H120" s="137"/>
    </row>
    <row r="121" spans="1:8" ht="55.5" customHeight="1">
      <c r="A121" s="2" t="s">
        <v>70</v>
      </c>
      <c r="B121" s="264"/>
      <c r="C121" s="52" t="s">
        <v>71</v>
      </c>
      <c r="D121" s="145"/>
      <c r="E121" s="188">
        <f>11300-3200-7000+1200+2000+1000+500</f>
        <v>5800</v>
      </c>
      <c r="F121" s="247"/>
      <c r="G121" s="137"/>
      <c r="H121" s="137"/>
    </row>
    <row r="122" spans="1:8" ht="55.5" customHeight="1">
      <c r="A122" s="2" t="s">
        <v>72</v>
      </c>
      <c r="B122" s="264"/>
      <c r="C122" s="202" t="s">
        <v>73</v>
      </c>
      <c r="D122" s="145"/>
      <c r="E122" s="188">
        <f>10000+3200+153</f>
        <v>13353</v>
      </c>
      <c r="F122" s="138"/>
      <c r="G122" s="137"/>
      <c r="H122" s="137"/>
    </row>
    <row r="123" spans="1:8" ht="55.5" customHeight="1">
      <c r="A123" s="2" t="s">
        <v>74</v>
      </c>
      <c r="B123" s="264"/>
      <c r="C123" s="202" t="s">
        <v>75</v>
      </c>
      <c r="D123" s="145" t="s">
        <v>76</v>
      </c>
      <c r="E123" s="188">
        <f>1000-1000</f>
        <v>0</v>
      </c>
      <c r="F123" s="138"/>
      <c r="G123" s="137"/>
      <c r="H123" s="137"/>
    </row>
    <row r="124" spans="1:8" ht="55.5" customHeight="1">
      <c r="A124" s="2" t="s">
        <v>77</v>
      </c>
      <c r="B124" s="4" t="s">
        <v>78</v>
      </c>
      <c r="C124" s="52" t="s">
        <v>79</v>
      </c>
      <c r="D124" s="145"/>
      <c r="E124" s="188">
        <v>77.89</v>
      </c>
      <c r="F124" s="138"/>
      <c r="G124" s="137"/>
      <c r="H124" s="137"/>
    </row>
    <row r="125" spans="1:8" ht="66.75" customHeight="1">
      <c r="A125" s="2" t="s">
        <v>603</v>
      </c>
      <c r="B125" s="2" t="s">
        <v>62</v>
      </c>
      <c r="C125" s="52" t="s">
        <v>604</v>
      </c>
      <c r="D125" s="145" t="s">
        <v>488</v>
      </c>
      <c r="E125" s="188">
        <v>877</v>
      </c>
      <c r="F125" s="248"/>
      <c r="G125" s="137"/>
      <c r="H125" s="137"/>
    </row>
    <row r="126" spans="1:8" ht="15" customHeight="1">
      <c r="A126" s="265" t="s">
        <v>80</v>
      </c>
      <c r="B126" s="265"/>
      <c r="C126" s="265"/>
      <c r="D126" s="203"/>
      <c r="E126" s="204">
        <f>E46+E22+E16</f>
        <v>314732.60156000004</v>
      </c>
      <c r="F126" s="138"/>
      <c r="G126" s="137"/>
      <c r="H126" s="137"/>
    </row>
    <row r="127" spans="1:13" ht="15">
      <c r="A127" s="205"/>
      <c r="B127" s="9"/>
      <c r="C127" s="9"/>
      <c r="D127" s="9"/>
      <c r="E127" s="206"/>
      <c r="F127" s="207"/>
      <c r="G127" s="10"/>
      <c r="H127" s="10"/>
      <c r="I127" s="153"/>
      <c r="J127" s="153"/>
      <c r="K127" s="153"/>
      <c r="L127" s="153"/>
      <c r="M127" s="153"/>
    </row>
    <row r="128" spans="3:14" ht="15">
      <c r="C128" s="208"/>
      <c r="D128" s="208"/>
      <c r="E128" s="211"/>
      <c r="F128" s="207"/>
      <c r="I128" s="138"/>
      <c r="K128" s="209"/>
      <c r="N128" s="153"/>
    </row>
    <row r="129" spans="3:6" ht="15">
      <c r="C129" s="9"/>
      <c r="D129" s="9"/>
      <c r="E129" s="101"/>
      <c r="F129" s="207"/>
    </row>
    <row r="130" spans="3:6" ht="15">
      <c r="C130" s="208"/>
      <c r="D130" s="208"/>
      <c r="E130" s="211"/>
      <c r="F130" s="207"/>
    </row>
    <row r="131" spans="3:6" ht="15">
      <c r="C131" s="208"/>
      <c r="D131" s="208"/>
      <c r="E131" s="211"/>
      <c r="F131" s="138"/>
    </row>
    <row r="132" spans="1:6" ht="15">
      <c r="A132" s="210"/>
      <c r="B132" s="137"/>
      <c r="C132" s="137"/>
      <c r="D132" s="137"/>
      <c r="E132" s="153"/>
      <c r="F132" s="138"/>
    </row>
    <row r="133" spans="1:6" ht="15">
      <c r="A133" s="210"/>
      <c r="B133" s="137"/>
      <c r="C133" s="137"/>
      <c r="D133" s="137"/>
      <c r="E133" s="153"/>
      <c r="F133" s="138"/>
    </row>
    <row r="134" spans="1:6" ht="15">
      <c r="A134" s="210"/>
      <c r="B134" s="137"/>
      <c r="C134" s="137"/>
      <c r="D134" s="137"/>
      <c r="E134" s="153"/>
      <c r="F134" s="138"/>
    </row>
    <row r="135" spans="1:15" s="9" customFormat="1" ht="15">
      <c r="A135" s="205"/>
      <c r="E135" s="10"/>
      <c r="F135" s="138"/>
      <c r="I135" s="137"/>
      <c r="J135" s="137"/>
      <c r="K135" s="137"/>
      <c r="L135" s="137"/>
      <c r="M135" s="137"/>
      <c r="N135" s="137"/>
      <c r="O135" s="137"/>
    </row>
    <row r="136" spans="1:15" s="9" customFormat="1" ht="15">
      <c r="A136" s="205"/>
      <c r="E136" s="10"/>
      <c r="F136" s="138"/>
      <c r="I136" s="137"/>
      <c r="J136" s="137"/>
      <c r="K136" s="137"/>
      <c r="L136" s="137"/>
      <c r="M136" s="137"/>
      <c r="N136" s="137"/>
      <c r="O136" s="137"/>
    </row>
    <row r="137" spans="1:15" s="9" customFormat="1" ht="15">
      <c r="A137" s="205"/>
      <c r="E137" s="10"/>
      <c r="F137" s="138"/>
      <c r="I137" s="137"/>
      <c r="J137" s="137"/>
      <c r="K137" s="137"/>
      <c r="L137" s="137"/>
      <c r="M137" s="137"/>
      <c r="N137" s="137"/>
      <c r="O137" s="137"/>
    </row>
    <row r="138" spans="1:15" s="9" customFormat="1" ht="15">
      <c r="A138" s="205"/>
      <c r="E138" s="10"/>
      <c r="F138" s="138"/>
      <c r="I138" s="137"/>
      <c r="J138" s="137"/>
      <c r="K138" s="137"/>
      <c r="L138" s="137"/>
      <c r="M138" s="137"/>
      <c r="N138" s="137"/>
      <c r="O138" s="137"/>
    </row>
    <row r="139" spans="1:15" s="9" customFormat="1" ht="15">
      <c r="A139" s="205"/>
      <c r="E139" s="10"/>
      <c r="F139" s="138"/>
      <c r="I139" s="137"/>
      <c r="J139" s="137"/>
      <c r="K139" s="137"/>
      <c r="L139" s="137"/>
      <c r="M139" s="137"/>
      <c r="N139" s="137"/>
      <c r="O139" s="137"/>
    </row>
    <row r="140" spans="1:15" s="9" customFormat="1" ht="15">
      <c r="A140" s="210"/>
      <c r="B140" s="137"/>
      <c r="C140" s="137"/>
      <c r="D140" s="137"/>
      <c r="E140" s="153"/>
      <c r="F140" s="138"/>
      <c r="I140" s="137"/>
      <c r="J140" s="137"/>
      <c r="K140" s="137"/>
      <c r="L140" s="137"/>
      <c r="M140" s="137"/>
      <c r="N140" s="137"/>
      <c r="O140" s="137"/>
    </row>
    <row r="141" spans="1:15" s="9" customFormat="1" ht="15">
      <c r="A141" s="210"/>
      <c r="B141" s="137"/>
      <c r="C141" s="137"/>
      <c r="D141" s="137"/>
      <c r="E141" s="153"/>
      <c r="F141" s="138"/>
      <c r="I141" s="137"/>
      <c r="J141" s="137"/>
      <c r="K141" s="137"/>
      <c r="L141" s="137"/>
      <c r="M141" s="137"/>
      <c r="N141" s="137"/>
      <c r="O141" s="137"/>
    </row>
    <row r="142" spans="1:15" s="9" customFormat="1" ht="15">
      <c r="A142" s="210"/>
      <c r="B142" s="137"/>
      <c r="C142" s="137"/>
      <c r="D142" s="137"/>
      <c r="E142" s="153"/>
      <c r="F142" s="138"/>
      <c r="I142" s="137"/>
      <c r="J142" s="137"/>
      <c r="K142" s="137"/>
      <c r="L142" s="137"/>
      <c r="M142" s="137"/>
      <c r="N142" s="137"/>
      <c r="O142" s="137"/>
    </row>
    <row r="143" spans="1:15" s="9" customFormat="1" ht="15">
      <c r="A143" s="210"/>
      <c r="B143" s="137"/>
      <c r="C143" s="137"/>
      <c r="D143" s="137"/>
      <c r="E143" s="153"/>
      <c r="F143" s="138"/>
      <c r="I143" s="137"/>
      <c r="J143" s="137"/>
      <c r="K143" s="137"/>
      <c r="L143" s="137"/>
      <c r="M143" s="137"/>
      <c r="N143" s="137"/>
      <c r="O143" s="137"/>
    </row>
    <row r="144" spans="1:15" s="9" customFormat="1" ht="15">
      <c r="A144" s="210"/>
      <c r="B144" s="137"/>
      <c r="C144" s="137"/>
      <c r="D144" s="137"/>
      <c r="E144" s="153"/>
      <c r="F144" s="138"/>
      <c r="I144" s="137"/>
      <c r="J144" s="137"/>
      <c r="K144" s="137"/>
      <c r="L144" s="137"/>
      <c r="M144" s="137"/>
      <c r="N144" s="137"/>
      <c r="O144" s="137"/>
    </row>
    <row r="145" spans="1:15" s="9" customFormat="1" ht="15">
      <c r="A145" s="210"/>
      <c r="B145" s="137"/>
      <c r="C145" s="137"/>
      <c r="D145" s="137"/>
      <c r="E145" s="153"/>
      <c r="F145" s="138"/>
      <c r="I145" s="137"/>
      <c r="J145" s="137"/>
      <c r="K145" s="137"/>
      <c r="L145" s="137"/>
      <c r="M145" s="137"/>
      <c r="N145" s="137"/>
      <c r="O145" s="137"/>
    </row>
    <row r="146" spans="1:5" ht="15">
      <c r="A146" s="210"/>
      <c r="B146" s="137"/>
      <c r="C146" s="137"/>
      <c r="D146" s="137"/>
      <c r="E146" s="153"/>
    </row>
  </sheetData>
  <sheetProtection selectLockedCells="1" selectUnlockedCells="1"/>
  <mergeCells count="44">
    <mergeCell ref="A14:E14"/>
    <mergeCell ref="A16:C16"/>
    <mergeCell ref="A17:C17"/>
    <mergeCell ref="A18:A19"/>
    <mergeCell ref="A22:C22"/>
    <mergeCell ref="A23:C23"/>
    <mergeCell ref="A24:C24"/>
    <mergeCell ref="B26:B29"/>
    <mergeCell ref="D26:D30"/>
    <mergeCell ref="B32:B37"/>
    <mergeCell ref="A38:C38"/>
    <mergeCell ref="A40:A41"/>
    <mergeCell ref="B40:B41"/>
    <mergeCell ref="C40:C41"/>
    <mergeCell ref="A42:C42"/>
    <mergeCell ref="A44:C44"/>
    <mergeCell ref="A46:C46"/>
    <mergeCell ref="A47:C47"/>
    <mergeCell ref="A48:A49"/>
    <mergeCell ref="C48:C49"/>
    <mergeCell ref="A50:C50"/>
    <mergeCell ref="A52:C52"/>
    <mergeCell ref="A56:A57"/>
    <mergeCell ref="B56:B57"/>
    <mergeCell ref="C56:C57"/>
    <mergeCell ref="B58:B63"/>
    <mergeCell ref="A64:C64"/>
    <mergeCell ref="B65:B70"/>
    <mergeCell ref="A75:C75"/>
    <mergeCell ref="A76:D76"/>
    <mergeCell ref="D77:D78"/>
    <mergeCell ref="A81:D81"/>
    <mergeCell ref="A83:D83"/>
    <mergeCell ref="A85:D85"/>
    <mergeCell ref="A88:D88"/>
    <mergeCell ref="A92:C92"/>
    <mergeCell ref="A93:C93"/>
    <mergeCell ref="A98:D98"/>
    <mergeCell ref="B117:B123"/>
    <mergeCell ref="A126:C126"/>
    <mergeCell ref="D99:D100"/>
    <mergeCell ref="B102:B112"/>
    <mergeCell ref="A113:D113"/>
    <mergeCell ref="A115:D115"/>
  </mergeCells>
  <printOptions/>
  <pageMargins left="0.7086614173228347" right="0.2362204724409449" top="0.35433070866141736" bottom="0.5905511811023623" header="0.5118110236220472" footer="0.31496062992125984"/>
  <pageSetup fitToHeight="6" fitToWidth="1" horizontalDpi="300" verticalDpi="300" orientation="portrait" paperSize="9" scale="72" r:id="rId1"/>
  <headerFooter alignWithMargins="0">
    <oddFooter>&amp;L139/мз</oddFooter>
  </headerFooter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buhgalteria</dc:creator>
  <cp:keywords/>
  <dc:description/>
  <cp:lastModifiedBy>Ольга С. Родионова</cp:lastModifiedBy>
  <cp:lastPrinted>2019-11-01T08:33:49Z</cp:lastPrinted>
  <dcterms:created xsi:type="dcterms:W3CDTF">2019-07-16T06:32:32Z</dcterms:created>
  <dcterms:modified xsi:type="dcterms:W3CDTF">2019-11-01T08:33:57Z</dcterms:modified>
  <cp:category/>
  <cp:version/>
  <cp:contentType/>
  <cp:contentStatus/>
</cp:coreProperties>
</file>